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arielistineo\AppData\Roaming\PFU\ScanSnap Home\ScanSnap Home\"/>
    </mc:Choice>
  </mc:AlternateContent>
  <xr:revisionPtr revIDLastSave="0" documentId="8_{3A45F85C-F1B8-4D1B-8158-3D34EB3F6BC4}" xr6:coauthVersionLast="47" xr6:coauthVersionMax="47" xr10:uidLastSave="{00000000-0000-0000-0000-000000000000}"/>
  <bookViews>
    <workbookView xWindow="-120" yWindow="-120" windowWidth="29040" windowHeight="15840" firstSheet="3" activeTab="10" xr2:uid="{967FA3DF-8E45-46AC-BC95-2A7CB64A9B84}"/>
  </bookViews>
  <sheets>
    <sheet name="CUB.1 Palmar Grande" sheetId="1" r:id="rId1"/>
    <sheet name="Cub.3 vista bella" sheetId="2" r:id="rId2"/>
    <sheet name="Cub.2 Mirador Sur" sheetId="3" r:id="rId3"/>
    <sheet name="CUB.5 Guananico" sheetId="4" r:id="rId4"/>
    <sheet name="MAYO---" sheetId="5" r:id="rId5"/>
    <sheet name="CUB.4 Cabarete" sheetId="6" r:id="rId6"/>
    <sheet name="CUB.3 Catalina" sheetId="7" r:id="rId7"/>
    <sheet name="CUB.3  Maria la O" sheetId="8" r:id="rId8"/>
    <sheet name="JUNIO---" sheetId="9" r:id="rId9"/>
    <sheet name="cub.2  Pozos" sheetId="10" r:id="rId10"/>
    <sheet name="CUB.2  3 Palmas" sheetId="11" r:id="rId11"/>
  </sheets>
  <definedNames>
    <definedName name="_xlnm.Print_Area" localSheetId="0">'CUB.1 Palmar Grande'!$A$1:$N$179</definedName>
    <definedName name="_xlnm.Print_Area" localSheetId="10">'CUB.2  3 Palmas'!$A$1:$M$123</definedName>
    <definedName name="_xlnm.Print_Area" localSheetId="1">'Cub.3 vista bella'!$A$1:$N$115</definedName>
    <definedName name="_xlnm.Print_Area" localSheetId="5">'CUB.4 Cabarete'!$A$1:$N$145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5" i="11" l="1"/>
  <c r="K45" i="11"/>
  <c r="M45" i="11" s="1"/>
  <c r="H39" i="11"/>
  <c r="L38" i="11"/>
  <c r="M38" i="11" s="1"/>
  <c r="H38" i="11"/>
  <c r="I38" i="11" s="1"/>
  <c r="J38" i="11" s="1"/>
  <c r="H37" i="11"/>
  <c r="L37" i="11" s="1"/>
  <c r="M37" i="11" s="1"/>
  <c r="L36" i="11"/>
  <c r="M36" i="11" s="1"/>
  <c r="H36" i="11"/>
  <c r="I36" i="11" s="1"/>
  <c r="J36" i="11" s="1"/>
  <c r="A36" i="11"/>
  <c r="A37" i="11" s="1"/>
  <c r="A38" i="11" s="1"/>
  <c r="A39" i="11" s="1"/>
  <c r="A40" i="11" s="1"/>
  <c r="M35" i="11"/>
  <c r="H35" i="11"/>
  <c r="L35" i="11" s="1"/>
  <c r="L34" i="11"/>
  <c r="M34" i="11" s="1"/>
  <c r="J34" i="11"/>
  <c r="H34" i="11"/>
  <c r="I34" i="11" s="1"/>
  <c r="A34" i="11"/>
  <c r="A35" i="11" s="1"/>
  <c r="M33" i="11"/>
  <c r="I33" i="11"/>
  <c r="J33" i="11" s="1"/>
  <c r="H33" i="11"/>
  <c r="L33" i="11" s="1"/>
  <c r="L32" i="11"/>
  <c r="M32" i="11" s="1"/>
  <c r="H32" i="11"/>
  <c r="I32" i="11" s="1"/>
  <c r="J32" i="11" s="1"/>
  <c r="A32" i="11"/>
  <c r="A33" i="11" s="1"/>
  <c r="H31" i="11"/>
  <c r="L31" i="11" s="1"/>
  <c r="A31" i="11"/>
  <c r="K29" i="11"/>
  <c r="L28" i="11"/>
  <c r="K28" i="11"/>
  <c r="M28" i="11" s="1"/>
  <c r="J28" i="11"/>
  <c r="I28" i="11"/>
  <c r="L27" i="11"/>
  <c r="L29" i="11" s="1"/>
  <c r="K27" i="11"/>
  <c r="I27" i="11"/>
  <c r="J27" i="11" s="1"/>
  <c r="K25" i="11"/>
  <c r="M25" i="11" s="1"/>
  <c r="K24" i="11"/>
  <c r="M24" i="11" s="1"/>
  <c r="J24" i="11"/>
  <c r="I24" i="11"/>
  <c r="F24" i="11"/>
  <c r="F25" i="11" s="1"/>
  <c r="F46" i="11" s="1"/>
  <c r="E95" i="11" s="1"/>
  <c r="F22" i="11"/>
  <c r="K21" i="11"/>
  <c r="K22" i="11" s="1"/>
  <c r="H21" i="11"/>
  <c r="L21" i="11" s="1"/>
  <c r="F21" i="11"/>
  <c r="L19" i="11"/>
  <c r="K18" i="11"/>
  <c r="M18" i="11" s="1"/>
  <c r="J18" i="11"/>
  <c r="I18" i="11"/>
  <c r="F18" i="11"/>
  <c r="M17" i="11"/>
  <c r="L17" i="11"/>
  <c r="I17" i="11"/>
  <c r="J17" i="11" s="1"/>
  <c r="F17" i="11"/>
  <c r="M16" i="11"/>
  <c r="L16" i="11"/>
  <c r="I16" i="11"/>
  <c r="J16" i="11" s="1"/>
  <c r="F16" i="11"/>
  <c r="L15" i="11"/>
  <c r="M15" i="11" s="1"/>
  <c r="I15" i="11"/>
  <c r="J15" i="11" s="1"/>
  <c r="F15" i="11"/>
  <c r="K14" i="11"/>
  <c r="M14" i="11" s="1"/>
  <c r="J14" i="11"/>
  <c r="I14" i="11"/>
  <c r="F14" i="11"/>
  <c r="F19" i="11" s="1"/>
  <c r="L11" i="11"/>
  <c r="M11" i="11" s="1"/>
  <c r="J11" i="11"/>
  <c r="I11" i="11"/>
  <c r="F11" i="11"/>
  <c r="F12" i="11" s="1"/>
  <c r="L22" i="11" l="1"/>
  <c r="M21" i="11"/>
  <c r="M22" i="11"/>
  <c r="E105" i="11"/>
  <c r="E104" i="11"/>
  <c r="E103" i="11"/>
  <c r="E102" i="11"/>
  <c r="E100" i="11"/>
  <c r="E101" i="11" s="1"/>
  <c r="E99" i="11"/>
  <c r="L40" i="11"/>
  <c r="K19" i="11"/>
  <c r="I21" i="11"/>
  <c r="J21" i="11" s="1"/>
  <c r="M29" i="11"/>
  <c r="I31" i="11"/>
  <c r="J31" i="11" s="1"/>
  <c r="M31" i="11"/>
  <c r="I37" i="11"/>
  <c r="J37" i="11" s="1"/>
  <c r="L12" i="11"/>
  <c r="M12" i="11" s="1"/>
  <c r="M27" i="11"/>
  <c r="I35" i="11"/>
  <c r="J35" i="11" s="1"/>
  <c r="L39" i="11"/>
  <c r="M39" i="11" s="1"/>
  <c r="I39" i="11"/>
  <c r="J39" i="11" s="1"/>
  <c r="M19" i="11" l="1"/>
  <c r="K46" i="11"/>
  <c r="M40" i="11"/>
  <c r="L46" i="11"/>
  <c r="J95" i="11" s="1"/>
  <c r="E108" i="11"/>
  <c r="E110" i="11" s="1"/>
  <c r="E111" i="11" s="1"/>
  <c r="J105" i="11" l="1"/>
  <c r="J104" i="11"/>
  <c r="J103" i="11"/>
  <c r="J102" i="11"/>
  <c r="J100" i="11"/>
  <c r="J99" i="11"/>
  <c r="M46" i="11"/>
  <c r="H95" i="11"/>
  <c r="L95" i="11" l="1"/>
  <c r="H105" i="11"/>
  <c r="H104" i="11"/>
  <c r="L104" i="11" s="1"/>
  <c r="H100" i="11"/>
  <c r="H101" i="11" s="1"/>
  <c r="H103" i="11"/>
  <c r="H99" i="11"/>
  <c r="H102" i="11"/>
  <c r="L102" i="11" s="1"/>
  <c r="L103" i="11"/>
  <c r="L99" i="11"/>
  <c r="J108" i="11"/>
  <c r="J111" i="11" s="1"/>
  <c r="L100" i="11"/>
  <c r="J101" i="11"/>
  <c r="L101" i="11" s="1"/>
  <c r="L105" i="11"/>
  <c r="L108" i="11" l="1"/>
  <c r="H108" i="11"/>
  <c r="H111" i="11" s="1"/>
  <c r="L111" i="11" l="1"/>
  <c r="H113" i="11"/>
  <c r="J113" i="11" l="1"/>
  <c r="J114" i="11" s="1"/>
  <c r="H116" i="11"/>
  <c r="L114" i="11" l="1"/>
  <c r="J116" i="11"/>
  <c r="L116" i="11" s="1"/>
  <c r="L113" i="11"/>
  <c r="L68" i="10" l="1"/>
  <c r="L67" i="10"/>
  <c r="K67" i="10"/>
  <c r="K68" i="10" s="1"/>
  <c r="M68" i="10" s="1"/>
  <c r="I67" i="10"/>
  <c r="J67" i="10" s="1"/>
  <c r="F67" i="10"/>
  <c r="F61" i="10"/>
  <c r="F60" i="10"/>
  <c r="F59" i="10"/>
  <c r="F58" i="10"/>
  <c r="F62" i="10" s="1"/>
  <c r="A58" i="10"/>
  <c r="A59" i="10" s="1"/>
  <c r="A60" i="10" s="1"/>
  <c r="A61" i="10" s="1"/>
  <c r="A62" i="10" s="1"/>
  <c r="F57" i="10"/>
  <c r="A57" i="10"/>
  <c r="L53" i="10"/>
  <c r="I53" i="10"/>
  <c r="J53" i="10" s="1"/>
  <c r="F53" i="10"/>
  <c r="A53" i="10"/>
  <c r="A54" i="10" s="1"/>
  <c r="L52" i="10"/>
  <c r="M52" i="10" s="1"/>
  <c r="I52" i="10"/>
  <c r="J52" i="10" s="1"/>
  <c r="F52" i="10"/>
  <c r="F54" i="10" s="1"/>
  <c r="A52" i="10"/>
  <c r="L49" i="10"/>
  <c r="M48" i="10"/>
  <c r="L48" i="10"/>
  <c r="I48" i="10"/>
  <c r="J48" i="10" s="1"/>
  <c r="F48" i="10"/>
  <c r="L47" i="10"/>
  <c r="M47" i="10" s="1"/>
  <c r="J47" i="10"/>
  <c r="I47" i="10"/>
  <c r="F47" i="10"/>
  <c r="M46" i="10"/>
  <c r="L46" i="10"/>
  <c r="I46" i="10"/>
  <c r="J46" i="10" s="1"/>
  <c r="F46" i="10"/>
  <c r="L45" i="10"/>
  <c r="K45" i="10"/>
  <c r="I45" i="10"/>
  <c r="J45" i="10" s="1"/>
  <c r="F45" i="10"/>
  <c r="A45" i="10"/>
  <c r="A46" i="10" s="1"/>
  <c r="A47" i="10" s="1"/>
  <c r="A48" i="10" s="1"/>
  <c r="A49" i="10" s="1"/>
  <c r="L44" i="10"/>
  <c r="M44" i="10" s="1"/>
  <c r="F44" i="10"/>
  <c r="F49" i="10" s="1"/>
  <c r="A44" i="10"/>
  <c r="K42" i="10"/>
  <c r="L41" i="10"/>
  <c r="M41" i="10" s="1"/>
  <c r="J41" i="10"/>
  <c r="I41" i="10"/>
  <c r="F41" i="10"/>
  <c r="M40" i="10"/>
  <c r="L40" i="10"/>
  <c r="I40" i="10"/>
  <c r="J40" i="10" s="1"/>
  <c r="F40" i="10"/>
  <c r="F42" i="10" s="1"/>
  <c r="L39" i="10"/>
  <c r="L42" i="10" s="1"/>
  <c r="J39" i="10"/>
  <c r="I39" i="10"/>
  <c r="F39" i="10"/>
  <c r="M38" i="10"/>
  <c r="L38" i="10"/>
  <c r="K38" i="10"/>
  <c r="I38" i="10"/>
  <c r="J38" i="10" s="1"/>
  <c r="F38" i="10"/>
  <c r="F37" i="10"/>
  <c r="A37" i="10"/>
  <c r="A38" i="10" s="1"/>
  <c r="A39" i="10" s="1"/>
  <c r="A40" i="10" s="1"/>
  <c r="A41" i="10" s="1"/>
  <c r="A42" i="10" s="1"/>
  <c r="F34" i="10"/>
  <c r="A34" i="10"/>
  <c r="A35" i="10" s="1"/>
  <c r="F33" i="10"/>
  <c r="F35" i="10" s="1"/>
  <c r="A33" i="10"/>
  <c r="L31" i="10"/>
  <c r="M30" i="10"/>
  <c r="L30" i="10"/>
  <c r="K30" i="10"/>
  <c r="I30" i="10"/>
  <c r="J30" i="10" s="1"/>
  <c r="F30" i="10"/>
  <c r="L29" i="10"/>
  <c r="M29" i="10" s="1"/>
  <c r="K29" i="10"/>
  <c r="I29" i="10"/>
  <c r="J29" i="10" s="1"/>
  <c r="F29" i="10"/>
  <c r="L28" i="10"/>
  <c r="K28" i="10"/>
  <c r="M28" i="10" s="1"/>
  <c r="I28" i="10"/>
  <c r="J28" i="10" s="1"/>
  <c r="F28" i="10"/>
  <c r="A28" i="10"/>
  <c r="A29" i="10" s="1"/>
  <c r="A30" i="10" s="1"/>
  <c r="A31" i="10" s="1"/>
  <c r="L27" i="10"/>
  <c r="K27" i="10"/>
  <c r="M27" i="10" s="1"/>
  <c r="J27" i="10"/>
  <c r="I27" i="10"/>
  <c r="F27" i="10"/>
  <c r="A27" i="10"/>
  <c r="M26" i="10"/>
  <c r="L26" i="10"/>
  <c r="K26" i="10"/>
  <c r="K31" i="10" s="1"/>
  <c r="I26" i="10"/>
  <c r="J26" i="10" s="1"/>
  <c r="F26" i="10"/>
  <c r="A26" i="10"/>
  <c r="F23" i="10"/>
  <c r="F22" i="10"/>
  <c r="F21" i="10"/>
  <c r="F20" i="10"/>
  <c r="F19" i="10"/>
  <c r="F24" i="10" s="1"/>
  <c r="L16" i="10"/>
  <c r="M16" i="10" s="1"/>
  <c r="I16" i="10"/>
  <c r="J16" i="10" s="1"/>
  <c r="F16" i="10"/>
  <c r="L15" i="10"/>
  <c r="L17" i="10" s="1"/>
  <c r="K15" i="10"/>
  <c r="I15" i="10"/>
  <c r="J15" i="10" s="1"/>
  <c r="F15" i="10"/>
  <c r="F14" i="10"/>
  <c r="F17" i="10" s="1"/>
  <c r="E209" i="8"/>
  <c r="L162" i="8"/>
  <c r="M162" i="8" s="1"/>
  <c r="I162" i="8"/>
  <c r="J162" i="8" s="1"/>
  <c r="F162" i="8"/>
  <c r="L161" i="8"/>
  <c r="M161" i="8" s="1"/>
  <c r="I161" i="8"/>
  <c r="J161" i="8" s="1"/>
  <c r="F161" i="8"/>
  <c r="L160" i="8"/>
  <c r="I160" i="8"/>
  <c r="J160" i="8" s="1"/>
  <c r="F160" i="8"/>
  <c r="F163" i="8" s="1"/>
  <c r="A160" i="8"/>
  <c r="A161" i="8" s="1"/>
  <c r="A162" i="8" s="1"/>
  <c r="M157" i="8"/>
  <c r="L157" i="8"/>
  <c r="I157" i="8"/>
  <c r="J157" i="8" s="1"/>
  <c r="F157" i="8"/>
  <c r="L156" i="8"/>
  <c r="M156" i="8" s="1"/>
  <c r="J156" i="8"/>
  <c r="I156" i="8"/>
  <c r="F156" i="8"/>
  <c r="A156" i="8"/>
  <c r="A157" i="8" s="1"/>
  <c r="M154" i="8"/>
  <c r="L154" i="8"/>
  <c r="I154" i="8"/>
  <c r="J154" i="8" s="1"/>
  <c r="L152" i="8"/>
  <c r="L158" i="8" s="1"/>
  <c r="M158" i="8" s="1"/>
  <c r="J152" i="8"/>
  <c r="I152" i="8"/>
  <c r="F152" i="8"/>
  <c r="F151" i="8"/>
  <c r="I150" i="8"/>
  <c r="J150" i="8" s="1"/>
  <c r="E150" i="8"/>
  <c r="F150" i="8" s="1"/>
  <c r="F154" i="8" s="1"/>
  <c r="A150" i="8"/>
  <c r="A151" i="8" s="1"/>
  <c r="A152" i="8" s="1"/>
  <c r="A153" i="8" s="1"/>
  <c r="M149" i="8"/>
  <c r="L149" i="8"/>
  <c r="K149" i="8"/>
  <c r="I149" i="8"/>
  <c r="J149" i="8" s="1"/>
  <c r="F149" i="8"/>
  <c r="A149" i="8"/>
  <c r="F141" i="8"/>
  <c r="F142" i="8" s="1"/>
  <c r="F138" i="8"/>
  <c r="F137" i="8"/>
  <c r="F136" i="8"/>
  <c r="F135" i="8"/>
  <c r="F134" i="8"/>
  <c r="F133" i="8"/>
  <c r="F132" i="8"/>
  <c r="F139" i="8" s="1"/>
  <c r="F129" i="8"/>
  <c r="F128" i="8"/>
  <c r="F127" i="8"/>
  <c r="F126" i="8"/>
  <c r="F125" i="8"/>
  <c r="F124" i="8"/>
  <c r="F123" i="8"/>
  <c r="F130" i="8" s="1"/>
  <c r="F120" i="8"/>
  <c r="F119" i="8"/>
  <c r="F118" i="8"/>
  <c r="F117" i="8"/>
  <c r="F116" i="8"/>
  <c r="F115" i="8"/>
  <c r="F114" i="8"/>
  <c r="F113" i="8"/>
  <c r="F112" i="8"/>
  <c r="F121" i="8" s="1"/>
  <c r="F109" i="8"/>
  <c r="F108" i="8"/>
  <c r="E107" i="8"/>
  <c r="F107" i="8" s="1"/>
  <c r="F106" i="8"/>
  <c r="F110" i="8" s="1"/>
  <c r="F105" i="8"/>
  <c r="F101" i="8"/>
  <c r="F100" i="8"/>
  <c r="F99" i="8"/>
  <c r="F98" i="8"/>
  <c r="F95" i="8"/>
  <c r="F94" i="8"/>
  <c r="F93" i="8"/>
  <c r="F92" i="8"/>
  <c r="F91" i="8"/>
  <c r="F90" i="8"/>
  <c r="F89" i="8"/>
  <c r="F88" i="8"/>
  <c r="F87" i="8"/>
  <c r="F86" i="8"/>
  <c r="F85" i="8"/>
  <c r="F84" i="8"/>
  <c r="F83" i="8"/>
  <c r="F82" i="8"/>
  <c r="F81" i="8"/>
  <c r="F80" i="8"/>
  <c r="F79" i="8"/>
  <c r="F78" i="8"/>
  <c r="F77" i="8"/>
  <c r="F76" i="8"/>
  <c r="F96" i="8" s="1"/>
  <c r="F73" i="8"/>
  <c r="F72" i="8"/>
  <c r="F71" i="8"/>
  <c r="F70" i="8"/>
  <c r="F74" i="8" s="1"/>
  <c r="F69" i="8"/>
  <c r="F68" i="8"/>
  <c r="F65" i="8"/>
  <c r="F64" i="8"/>
  <c r="E63" i="8"/>
  <c r="F63" i="8" s="1"/>
  <c r="F62" i="8"/>
  <c r="E62" i="8"/>
  <c r="E61" i="8"/>
  <c r="F61" i="8" s="1"/>
  <c r="F60" i="8"/>
  <c r="E60" i="8"/>
  <c r="E59" i="8"/>
  <c r="F59" i="8" s="1"/>
  <c r="F58" i="8"/>
  <c r="E58" i="8"/>
  <c r="E57" i="8"/>
  <c r="F57" i="8" s="1"/>
  <c r="F56" i="8"/>
  <c r="E56" i="8"/>
  <c r="E53" i="8"/>
  <c r="F53" i="8" s="1"/>
  <c r="F52" i="8"/>
  <c r="F51" i="8"/>
  <c r="F48" i="8"/>
  <c r="F49" i="8" s="1"/>
  <c r="F47" i="8"/>
  <c r="F44" i="8"/>
  <c r="I43" i="8"/>
  <c r="J43" i="8" s="1"/>
  <c r="E43" i="8"/>
  <c r="F43" i="8" s="1"/>
  <c r="L40" i="8"/>
  <c r="I40" i="8"/>
  <c r="J40" i="8" s="1"/>
  <c r="F40" i="8"/>
  <c r="E40" i="8"/>
  <c r="K40" i="8" s="1"/>
  <c r="K39" i="8"/>
  <c r="I39" i="8"/>
  <c r="J39" i="8" s="1"/>
  <c r="E39" i="8"/>
  <c r="J38" i="8"/>
  <c r="I38" i="8"/>
  <c r="E38" i="8"/>
  <c r="L38" i="8" s="1"/>
  <c r="I37" i="8"/>
  <c r="J37" i="8" s="1"/>
  <c r="E37" i="8"/>
  <c r="L37" i="8" s="1"/>
  <c r="E34" i="8"/>
  <c r="F34" i="8" s="1"/>
  <c r="J33" i="8"/>
  <c r="I33" i="8"/>
  <c r="E33" i="8"/>
  <c r="K33" i="8" s="1"/>
  <c r="J31" i="8"/>
  <c r="I31" i="8"/>
  <c r="E31" i="8"/>
  <c r="K31" i="8" s="1"/>
  <c r="K35" i="8" s="1"/>
  <c r="L28" i="8"/>
  <c r="I28" i="8"/>
  <c r="J28" i="8" s="1"/>
  <c r="E28" i="8"/>
  <c r="F28" i="8" s="1"/>
  <c r="F27" i="8"/>
  <c r="L24" i="8"/>
  <c r="K24" i="8"/>
  <c r="M24" i="8" s="1"/>
  <c r="G24" i="8"/>
  <c r="I24" i="8" s="1"/>
  <c r="J24" i="8" s="1"/>
  <c r="F24" i="8"/>
  <c r="E24" i="8"/>
  <c r="I23" i="8"/>
  <c r="J23" i="8" s="1"/>
  <c r="E23" i="8"/>
  <c r="J22" i="8"/>
  <c r="G22" i="8"/>
  <c r="I22" i="8" s="1"/>
  <c r="E22" i="8"/>
  <c r="G21" i="8"/>
  <c r="I21" i="8" s="1"/>
  <c r="J21" i="8" s="1"/>
  <c r="E21" i="8"/>
  <c r="E18" i="8"/>
  <c r="F18" i="8" s="1"/>
  <c r="L17" i="8"/>
  <c r="L19" i="8" s="1"/>
  <c r="H17" i="8"/>
  <c r="I17" i="8" s="1"/>
  <c r="J17" i="8" s="1"/>
  <c r="E17" i="8"/>
  <c r="K17" i="8" s="1"/>
  <c r="E16" i="8"/>
  <c r="F16" i="8" s="1"/>
  <c r="I14" i="8"/>
  <c r="J14" i="8" s="1"/>
  <c r="E14" i="8"/>
  <c r="L14" i="8" s="1"/>
  <c r="L15" i="8" s="1"/>
  <c r="M15" i="10" l="1"/>
  <c r="K17" i="10"/>
  <c r="M17" i="10" s="1"/>
  <c r="K49" i="10"/>
  <c r="M45" i="10"/>
  <c r="M31" i="10"/>
  <c r="F31" i="10"/>
  <c r="M42" i="10"/>
  <c r="M54" i="10"/>
  <c r="M53" i="10"/>
  <c r="L54" i="10"/>
  <c r="L63" i="10" s="1"/>
  <c r="I111" i="10" s="1"/>
  <c r="F63" i="10"/>
  <c r="E111" i="10" s="1"/>
  <c r="M39" i="10"/>
  <c r="M67" i="10"/>
  <c r="F170" i="8"/>
  <c r="F172" i="8" s="1"/>
  <c r="F158" i="8"/>
  <c r="L23" i="8"/>
  <c r="F23" i="8"/>
  <c r="M40" i="8"/>
  <c r="K19" i="8"/>
  <c r="M19" i="8" s="1"/>
  <c r="M17" i="8"/>
  <c r="K22" i="8"/>
  <c r="L22" i="8"/>
  <c r="F22" i="8"/>
  <c r="F29" i="8"/>
  <c r="F173" i="8"/>
  <c r="F39" i="8"/>
  <c r="L39" i="8"/>
  <c r="L41" i="8" s="1"/>
  <c r="L29" i="8"/>
  <c r="M29" i="8" s="1"/>
  <c r="M28" i="8"/>
  <c r="K21" i="8"/>
  <c r="L21" i="8"/>
  <c r="L25" i="8" s="1"/>
  <c r="F21" i="8"/>
  <c r="K23" i="8"/>
  <c r="M23" i="8" s="1"/>
  <c r="F54" i="8"/>
  <c r="F66" i="8"/>
  <c r="F102" i="8"/>
  <c r="L163" i="8"/>
  <c r="M160" i="8"/>
  <c r="K38" i="8"/>
  <c r="M38" i="8" s="1"/>
  <c r="K14" i="8"/>
  <c r="F31" i="8"/>
  <c r="L31" i="8"/>
  <c r="L32" i="8" s="1"/>
  <c r="M32" i="8" s="1"/>
  <c r="F33" i="8"/>
  <c r="L33" i="8"/>
  <c r="L35" i="8" s="1"/>
  <c r="M35" i="8" s="1"/>
  <c r="K37" i="8"/>
  <c r="F38" i="8"/>
  <c r="L43" i="8"/>
  <c r="K150" i="8"/>
  <c r="K172" i="8" s="1"/>
  <c r="M152" i="8"/>
  <c r="F14" i="8"/>
  <c r="F17" i="8"/>
  <c r="F37" i="8"/>
  <c r="F41" i="8" s="1"/>
  <c r="E117" i="10" l="1"/>
  <c r="E120" i="10" s="1"/>
  <c r="K63" i="10"/>
  <c r="H111" i="10" s="1"/>
  <c r="M49" i="10"/>
  <c r="I117" i="10"/>
  <c r="I126" i="10" s="1"/>
  <c r="M14" i="8"/>
  <c r="K15" i="8"/>
  <c r="M15" i="8" s="1"/>
  <c r="L143" i="8"/>
  <c r="L171" i="8" s="1"/>
  <c r="M43" i="8"/>
  <c r="L44" i="8"/>
  <c r="M44" i="8" s="1"/>
  <c r="F19" i="8"/>
  <c r="M22" i="8"/>
  <c r="M39" i="8"/>
  <c r="M33" i="8"/>
  <c r="M21" i="8"/>
  <c r="M25" i="8" s="1"/>
  <c r="K25" i="8"/>
  <c r="K41" i="8"/>
  <c r="M37" i="8"/>
  <c r="F35" i="8"/>
  <c r="F143" i="8" s="1"/>
  <c r="F171" i="8" s="1"/>
  <c r="F174" i="8" s="1"/>
  <c r="F175" i="8" s="1"/>
  <c r="F198" i="8" s="1"/>
  <c r="M163" i="8"/>
  <c r="L172" i="8"/>
  <c r="F25" i="8"/>
  <c r="I129" i="10" l="1"/>
  <c r="I134" i="10"/>
  <c r="H117" i="10"/>
  <c r="K117" i="10" s="1"/>
  <c r="K111" i="10"/>
  <c r="F208" i="8"/>
  <c r="F204" i="8"/>
  <c r="F201" i="8"/>
  <c r="F209" i="8" s="1"/>
  <c r="F211" i="8" s="1"/>
  <c r="F207" i="8"/>
  <c r="F206" i="8"/>
  <c r="F202" i="8"/>
  <c r="F203" i="8" s="1"/>
  <c r="F205" i="8"/>
  <c r="L175" i="8"/>
  <c r="J198" i="8" s="1"/>
  <c r="M172" i="8"/>
  <c r="K143" i="8"/>
  <c r="M41" i="8"/>
  <c r="H126" i="10" l="1"/>
  <c r="K171" i="8"/>
  <c r="M143" i="8"/>
  <c r="J208" i="8"/>
  <c r="J206" i="8"/>
  <c r="J205" i="8"/>
  <c r="J204" i="8"/>
  <c r="J202" i="8"/>
  <c r="J203" i="8" s="1"/>
  <c r="J201" i="8"/>
  <c r="J211" i="8" s="1"/>
  <c r="J213" i="8" s="1"/>
  <c r="H129" i="10" l="1"/>
  <c r="K129" i="10" s="1"/>
  <c r="H134" i="10"/>
  <c r="K134" i="10" s="1"/>
  <c r="K126" i="10"/>
  <c r="J218" i="8"/>
  <c r="J220" i="8"/>
  <c r="K175" i="8"/>
  <c r="M171" i="8"/>
  <c r="M175" i="8" l="1"/>
  <c r="H198" i="8"/>
  <c r="L198" i="8" l="1"/>
  <c r="H205" i="8"/>
  <c r="L205" i="8" s="1"/>
  <c r="H201" i="8"/>
  <c r="H208" i="8"/>
  <c r="L208" i="8" s="1"/>
  <c r="H206" i="8"/>
  <c r="L206" i="8" s="1"/>
  <c r="H204" i="8"/>
  <c r="L204" i="8" s="1"/>
  <c r="H202" i="8"/>
  <c r="L202" i="8" l="1"/>
  <c r="H203" i="8"/>
  <c r="L203" i="8" s="1"/>
  <c r="L201" i="8"/>
  <c r="H211" i="8"/>
  <c r="H213" i="8" l="1"/>
  <c r="L211" i="8"/>
  <c r="H218" i="8" l="1"/>
  <c r="L218" i="8" s="1"/>
  <c r="L213" i="8"/>
  <c r="H220" i="8" l="1"/>
  <c r="L220" i="8" s="1"/>
  <c r="D165" i="7" l="1"/>
  <c r="K111" i="7"/>
  <c r="H110" i="7"/>
  <c r="I110" i="7" s="1"/>
  <c r="J110" i="7" s="1"/>
  <c r="F110" i="7"/>
  <c r="L110" i="7" s="1"/>
  <c r="M110" i="7" s="1"/>
  <c r="H109" i="7"/>
  <c r="I109" i="7" s="1"/>
  <c r="J109" i="7" s="1"/>
  <c r="F109" i="7"/>
  <c r="L109" i="7" s="1"/>
  <c r="M108" i="7"/>
  <c r="I108" i="7"/>
  <c r="J108" i="7" s="1"/>
  <c r="F108" i="7"/>
  <c r="M107" i="7"/>
  <c r="I107" i="7"/>
  <c r="J107" i="7" s="1"/>
  <c r="F107" i="7"/>
  <c r="M106" i="7"/>
  <c r="I106" i="7"/>
  <c r="J106" i="7" s="1"/>
  <c r="F106" i="7"/>
  <c r="M105" i="7"/>
  <c r="I105" i="7"/>
  <c r="J105" i="7" s="1"/>
  <c r="F105" i="7"/>
  <c r="M104" i="7"/>
  <c r="I104" i="7"/>
  <c r="J104" i="7" s="1"/>
  <c r="F104" i="7"/>
  <c r="M103" i="7"/>
  <c r="I103" i="7"/>
  <c r="J103" i="7" s="1"/>
  <c r="F103" i="7"/>
  <c r="M102" i="7"/>
  <c r="I102" i="7"/>
  <c r="J102" i="7" s="1"/>
  <c r="F102" i="7"/>
  <c r="M101" i="7"/>
  <c r="I101" i="7"/>
  <c r="J101" i="7" s="1"/>
  <c r="F101" i="7"/>
  <c r="M100" i="7"/>
  <c r="I100" i="7"/>
  <c r="J100" i="7" s="1"/>
  <c r="F100" i="7"/>
  <c r="M99" i="7"/>
  <c r="I99" i="7"/>
  <c r="J99" i="7" s="1"/>
  <c r="F99" i="7"/>
  <c r="F111" i="7" s="1"/>
  <c r="K96" i="7"/>
  <c r="M96" i="7" s="1"/>
  <c r="I96" i="7"/>
  <c r="J96" i="7" s="1"/>
  <c r="F96" i="7"/>
  <c r="M95" i="7"/>
  <c r="K95" i="7"/>
  <c r="I95" i="7"/>
  <c r="J95" i="7" s="1"/>
  <c r="F95" i="7"/>
  <c r="K94" i="7"/>
  <c r="I94" i="7"/>
  <c r="J94" i="7" s="1"/>
  <c r="F94" i="7"/>
  <c r="K93" i="7"/>
  <c r="J93" i="7"/>
  <c r="I93" i="7"/>
  <c r="F93" i="7"/>
  <c r="K92" i="7"/>
  <c r="I92" i="7"/>
  <c r="J92" i="7" s="1"/>
  <c r="F92" i="7"/>
  <c r="M91" i="7"/>
  <c r="K91" i="7"/>
  <c r="I91" i="7"/>
  <c r="J91" i="7" s="1"/>
  <c r="F91" i="7"/>
  <c r="K90" i="7"/>
  <c r="I90" i="7"/>
  <c r="F90" i="7"/>
  <c r="M89" i="7"/>
  <c r="M92" i="7" s="1"/>
  <c r="K89" i="7"/>
  <c r="I89" i="7"/>
  <c r="J89" i="7" s="1"/>
  <c r="F89" i="7"/>
  <c r="K88" i="7"/>
  <c r="M88" i="7" s="1"/>
  <c r="J88" i="7"/>
  <c r="F88" i="7"/>
  <c r="K87" i="7"/>
  <c r="M87" i="7" s="1"/>
  <c r="J87" i="7"/>
  <c r="F87" i="7"/>
  <c r="K86" i="7"/>
  <c r="M86" i="7" s="1"/>
  <c r="J86" i="7"/>
  <c r="F86" i="7"/>
  <c r="K85" i="7"/>
  <c r="M85" i="7" s="1"/>
  <c r="J85" i="7"/>
  <c r="F85" i="7"/>
  <c r="K84" i="7"/>
  <c r="M84" i="7" s="1"/>
  <c r="I84" i="7"/>
  <c r="J84" i="7" s="1"/>
  <c r="F84" i="7"/>
  <c r="K83" i="7"/>
  <c r="K97" i="7" s="1"/>
  <c r="J83" i="7"/>
  <c r="I83" i="7"/>
  <c r="F83" i="7"/>
  <c r="F97" i="7" s="1"/>
  <c r="F76" i="7"/>
  <c r="F75" i="7"/>
  <c r="F73" i="7"/>
  <c r="K72" i="7"/>
  <c r="M72" i="7" s="1"/>
  <c r="J72" i="7"/>
  <c r="I72" i="7"/>
  <c r="F72" i="7"/>
  <c r="K71" i="7"/>
  <c r="M71" i="7" s="1"/>
  <c r="J71" i="7"/>
  <c r="I71" i="7"/>
  <c r="F71" i="7"/>
  <c r="K70" i="7"/>
  <c r="K73" i="7" s="1"/>
  <c r="J70" i="7"/>
  <c r="I70" i="7"/>
  <c r="F70" i="7"/>
  <c r="M68" i="7"/>
  <c r="K68" i="7"/>
  <c r="J67" i="7"/>
  <c r="I67" i="7"/>
  <c r="F67" i="7"/>
  <c r="M66" i="7"/>
  <c r="J66" i="7"/>
  <c r="I66" i="7"/>
  <c r="F66" i="7"/>
  <c r="M65" i="7"/>
  <c r="J65" i="7"/>
  <c r="I65" i="7"/>
  <c r="F65" i="7"/>
  <c r="F64" i="7"/>
  <c r="F63" i="7"/>
  <c r="F62" i="7"/>
  <c r="F61" i="7"/>
  <c r="F60" i="7"/>
  <c r="F59" i="7"/>
  <c r="F68" i="7" s="1"/>
  <c r="F56" i="7"/>
  <c r="F55" i="7"/>
  <c r="F54" i="7"/>
  <c r="F53" i="7"/>
  <c r="F52" i="7"/>
  <c r="E51" i="7"/>
  <c r="F51" i="7" s="1"/>
  <c r="F50" i="7"/>
  <c r="F49" i="7"/>
  <c r="F48" i="7"/>
  <c r="F47" i="7"/>
  <c r="F46" i="7"/>
  <c r="F45" i="7"/>
  <c r="F44" i="7"/>
  <c r="F43" i="7"/>
  <c r="F42" i="7"/>
  <c r="F57" i="7" s="1"/>
  <c r="E42" i="7"/>
  <c r="F39" i="7"/>
  <c r="F38" i="7"/>
  <c r="E38" i="7"/>
  <c r="F37" i="7"/>
  <c r="F36" i="7"/>
  <c r="F35" i="7"/>
  <c r="E35" i="7"/>
  <c r="E34" i="7"/>
  <c r="F34" i="7" s="1"/>
  <c r="F33" i="7"/>
  <c r="E33" i="7"/>
  <c r="E32" i="7"/>
  <c r="F32" i="7" s="1"/>
  <c r="F31" i="7"/>
  <c r="F30" i="7"/>
  <c r="F29" i="7"/>
  <c r="F26" i="7"/>
  <c r="F25" i="7"/>
  <c r="E24" i="7"/>
  <c r="F24" i="7" s="1"/>
  <c r="F23" i="7"/>
  <c r="F22" i="7"/>
  <c r="E21" i="7"/>
  <c r="F21" i="7" s="1"/>
  <c r="F20" i="7"/>
  <c r="F19" i="7"/>
  <c r="F18" i="7"/>
  <c r="F17" i="7"/>
  <c r="F16" i="7"/>
  <c r="E16" i="7"/>
  <c r="F13" i="7"/>
  <c r="K12" i="7"/>
  <c r="M12" i="7" s="1"/>
  <c r="J12" i="7"/>
  <c r="I12" i="7"/>
  <c r="F12" i="7"/>
  <c r="K11" i="7"/>
  <c r="M11" i="7" s="1"/>
  <c r="I11" i="7"/>
  <c r="J11" i="7" s="1"/>
  <c r="F11" i="7"/>
  <c r="M10" i="7"/>
  <c r="I10" i="7"/>
  <c r="J10" i="7" s="1"/>
  <c r="F10" i="7"/>
  <c r="F14" i="7" s="1"/>
  <c r="F40" i="7" l="1"/>
  <c r="F77" i="7" s="1"/>
  <c r="F113" i="7" s="1"/>
  <c r="F115" i="7" s="1"/>
  <c r="E154" i="7" s="1"/>
  <c r="F27" i="7"/>
  <c r="L111" i="7"/>
  <c r="M109" i="7"/>
  <c r="K112" i="7"/>
  <c r="M97" i="7"/>
  <c r="M73" i="7"/>
  <c r="F112" i="7"/>
  <c r="F114" i="7"/>
  <c r="K13" i="7"/>
  <c r="M13" i="7" s="1"/>
  <c r="M70" i="7"/>
  <c r="M83" i="7"/>
  <c r="M93" i="7"/>
  <c r="M94" i="7" s="1"/>
  <c r="E164" i="7" l="1"/>
  <c r="E163" i="7"/>
  <c r="E162" i="7"/>
  <c r="E161" i="7"/>
  <c r="E159" i="7"/>
  <c r="E160" i="7" s="1"/>
  <c r="E158" i="7"/>
  <c r="K115" i="7"/>
  <c r="K113" i="7"/>
  <c r="M113" i="7" s="1"/>
  <c r="L112" i="7"/>
  <c r="L115" i="7" s="1"/>
  <c r="I154" i="7" s="1"/>
  <c r="M111" i="7"/>
  <c r="E165" i="7" l="1"/>
  <c r="E167" i="7" s="1"/>
  <c r="G154" i="7"/>
  <c r="M115" i="7"/>
  <c r="I164" i="7"/>
  <c r="I163" i="7"/>
  <c r="I162" i="7"/>
  <c r="I161" i="7"/>
  <c r="I159" i="7"/>
  <c r="I160" i="7" s="1"/>
  <c r="I158" i="7"/>
  <c r="M112" i="7"/>
  <c r="I165" i="7" l="1"/>
  <c r="I167" i="7" s="1"/>
  <c r="G158" i="7"/>
  <c r="K154" i="7"/>
  <c r="G164" i="7"/>
  <c r="G163" i="7"/>
  <c r="G162" i="7"/>
  <c r="G161" i="7"/>
  <c r="G159" i="7"/>
  <c r="G160" i="7" s="1"/>
  <c r="K157" i="7" l="1"/>
  <c r="K164" i="7"/>
  <c r="K163" i="7"/>
  <c r="K161" i="7"/>
  <c r="K159" i="7"/>
  <c r="K160" i="7" s="1"/>
  <c r="K162" i="7"/>
  <c r="G165" i="7"/>
  <c r="G167" i="7" s="1"/>
  <c r="I172" i="7"/>
  <c r="I175" i="7"/>
  <c r="G172" i="7" l="1"/>
  <c r="K172" i="7" s="1"/>
  <c r="G175" i="7"/>
  <c r="K175" i="7" s="1"/>
  <c r="K165" i="7"/>
  <c r="K167" i="7" s="1"/>
  <c r="M102" i="6" l="1"/>
  <c r="F91" i="6"/>
  <c r="A91" i="6"/>
  <c r="A92" i="6" s="1"/>
  <c r="I90" i="6"/>
  <c r="J90" i="6" s="1"/>
  <c r="E90" i="6"/>
  <c r="F90" i="6" s="1"/>
  <c r="F92" i="6" s="1"/>
  <c r="A90" i="6"/>
  <c r="K86" i="6"/>
  <c r="M86" i="6" s="1"/>
  <c r="I86" i="6"/>
  <c r="J86" i="6" s="1"/>
  <c r="F86" i="6"/>
  <c r="L85" i="6"/>
  <c r="I85" i="6"/>
  <c r="J85" i="6" s="1"/>
  <c r="F85" i="6"/>
  <c r="A85" i="6"/>
  <c r="A86" i="6" s="1"/>
  <c r="A87" i="6" s="1"/>
  <c r="K84" i="6"/>
  <c r="M84" i="6" s="1"/>
  <c r="I84" i="6"/>
  <c r="J84" i="6" s="1"/>
  <c r="F84" i="6"/>
  <c r="K83" i="6"/>
  <c r="I83" i="6"/>
  <c r="J83" i="6" s="1"/>
  <c r="F83" i="6"/>
  <c r="F87" i="6" s="1"/>
  <c r="A83" i="6"/>
  <c r="A84" i="6" s="1"/>
  <c r="F81" i="6"/>
  <c r="A81" i="6"/>
  <c r="L80" i="6"/>
  <c r="M80" i="6" s="1"/>
  <c r="I80" i="6"/>
  <c r="J80" i="6" s="1"/>
  <c r="F80" i="6"/>
  <c r="A80" i="6"/>
  <c r="L77" i="6"/>
  <c r="M77" i="6" s="1"/>
  <c r="I77" i="6"/>
  <c r="J77" i="6" s="1"/>
  <c r="F77" i="6"/>
  <c r="L76" i="6"/>
  <c r="M76" i="6" s="1"/>
  <c r="I76" i="6"/>
  <c r="J76" i="6" s="1"/>
  <c r="F76" i="6"/>
  <c r="L75" i="6"/>
  <c r="M75" i="6" s="1"/>
  <c r="I75" i="6"/>
  <c r="J75" i="6" s="1"/>
  <c r="F75" i="6"/>
  <c r="L74" i="6"/>
  <c r="M74" i="6" s="1"/>
  <c r="I74" i="6"/>
  <c r="J74" i="6" s="1"/>
  <c r="F74" i="6"/>
  <c r="I73" i="6"/>
  <c r="J73" i="6" s="1"/>
  <c r="F73" i="6"/>
  <c r="L72" i="6"/>
  <c r="M72" i="6" s="1"/>
  <c r="I72" i="6"/>
  <c r="J72" i="6" s="1"/>
  <c r="F72" i="6"/>
  <c r="F78" i="6" s="1"/>
  <c r="A72" i="6"/>
  <c r="A73" i="6" s="1"/>
  <c r="A74" i="6" s="1"/>
  <c r="A75" i="6" s="1"/>
  <c r="A76" i="6" s="1"/>
  <c r="A77" i="6" s="1"/>
  <c r="A78" i="6" s="1"/>
  <c r="F70" i="6"/>
  <c r="F69" i="6"/>
  <c r="F68" i="6"/>
  <c r="A68" i="6"/>
  <c r="A69" i="6" s="1"/>
  <c r="L67" i="6"/>
  <c r="L70" i="6" s="1"/>
  <c r="K67" i="6"/>
  <c r="M67" i="6" s="1"/>
  <c r="J67" i="6"/>
  <c r="I67" i="6"/>
  <c r="F67" i="6"/>
  <c r="A67" i="6"/>
  <c r="L64" i="6"/>
  <c r="L65" i="6" s="1"/>
  <c r="I64" i="6"/>
  <c r="J64" i="6" s="1"/>
  <c r="F64" i="6"/>
  <c r="K63" i="6"/>
  <c r="M63" i="6" s="1"/>
  <c r="J63" i="6"/>
  <c r="I63" i="6"/>
  <c r="F63" i="6"/>
  <c r="M62" i="6"/>
  <c r="K62" i="6"/>
  <c r="I62" i="6"/>
  <c r="J62" i="6" s="1"/>
  <c r="F62" i="6"/>
  <c r="K61" i="6"/>
  <c r="M61" i="6" s="1"/>
  <c r="J61" i="6"/>
  <c r="I61" i="6"/>
  <c r="F61" i="6"/>
  <c r="A61" i="6"/>
  <c r="A62" i="6" s="1"/>
  <c r="A63" i="6" s="1"/>
  <c r="A65" i="6" s="1"/>
  <c r="M60" i="6"/>
  <c r="K60" i="6"/>
  <c r="K65" i="6" s="1"/>
  <c r="M65" i="6" s="1"/>
  <c r="I60" i="6"/>
  <c r="J60" i="6" s="1"/>
  <c r="F60" i="6"/>
  <c r="F65" i="6" s="1"/>
  <c r="A60" i="6"/>
  <c r="K57" i="6"/>
  <c r="M57" i="6" s="1"/>
  <c r="J57" i="6"/>
  <c r="I57" i="6"/>
  <c r="F57" i="6"/>
  <c r="M56" i="6"/>
  <c r="K56" i="6"/>
  <c r="I56" i="6"/>
  <c r="J56" i="6" s="1"/>
  <c r="F56" i="6"/>
  <c r="F58" i="6" s="1"/>
  <c r="K55" i="6"/>
  <c r="K58" i="6" s="1"/>
  <c r="M58" i="6" s="1"/>
  <c r="J55" i="6"/>
  <c r="I55" i="6"/>
  <c r="F55" i="6"/>
  <c r="A55" i="6"/>
  <c r="A56" i="6" s="1"/>
  <c r="A57" i="6" s="1"/>
  <c r="A58" i="6" s="1"/>
  <c r="M54" i="6"/>
  <c r="K54" i="6"/>
  <c r="I54" i="6"/>
  <c r="J54" i="6" s="1"/>
  <c r="F54" i="6"/>
  <c r="A54" i="6"/>
  <c r="F51" i="6"/>
  <c r="L50" i="6"/>
  <c r="M50" i="6" s="1"/>
  <c r="M51" i="6" s="1"/>
  <c r="J50" i="6"/>
  <c r="I50" i="6"/>
  <c r="F50" i="6"/>
  <c r="A50" i="6"/>
  <c r="A51" i="6" s="1"/>
  <c r="F47" i="6"/>
  <c r="F46" i="6"/>
  <c r="F45" i="6"/>
  <c r="F44" i="6"/>
  <c r="F43" i="6"/>
  <c r="F42" i="6"/>
  <c r="F41" i="6"/>
  <c r="F40" i="6"/>
  <c r="F39" i="6"/>
  <c r="F38" i="6"/>
  <c r="F37" i="6"/>
  <c r="F36" i="6"/>
  <c r="F35" i="6"/>
  <c r="F34" i="6"/>
  <c r="F33" i="6"/>
  <c r="A33" i="6"/>
  <c r="A34" i="6" s="1"/>
  <c r="A35" i="6" s="1"/>
  <c r="A36" i="6" s="1"/>
  <c r="A37" i="6" s="1"/>
  <c r="A38" i="6" s="1"/>
  <c r="A39" i="6" s="1"/>
  <c r="A40" i="6" s="1"/>
  <c r="A41" i="6" s="1"/>
  <c r="A42" i="6" s="1"/>
  <c r="A43" i="6" s="1"/>
  <c r="A44" i="6" s="1"/>
  <c r="A45" i="6" s="1"/>
  <c r="A46" i="6" s="1"/>
  <c r="A47" i="6" s="1"/>
  <c r="A48" i="6" s="1"/>
  <c r="F32" i="6"/>
  <c r="F48" i="6" s="1"/>
  <c r="A32" i="6"/>
  <c r="K29" i="6"/>
  <c r="H29" i="6"/>
  <c r="L29" i="6" s="1"/>
  <c r="F29" i="6"/>
  <c r="K28" i="6"/>
  <c r="H28" i="6"/>
  <c r="F28" i="6"/>
  <c r="L27" i="6"/>
  <c r="K27" i="6"/>
  <c r="M27" i="6" s="1"/>
  <c r="I27" i="6"/>
  <c r="J27" i="6" s="1"/>
  <c r="F27" i="6"/>
  <c r="A27" i="6"/>
  <c r="A28" i="6" s="1"/>
  <c r="A29" i="6" s="1"/>
  <c r="L26" i="6"/>
  <c r="M26" i="6" s="1"/>
  <c r="I26" i="6"/>
  <c r="J26" i="6" s="1"/>
  <c r="F26" i="6"/>
  <c r="K25" i="6"/>
  <c r="H25" i="6"/>
  <c r="L25" i="6" s="1"/>
  <c r="F25" i="6"/>
  <c r="K24" i="6"/>
  <c r="M24" i="6" s="1"/>
  <c r="I24" i="6"/>
  <c r="J24" i="6" s="1"/>
  <c r="F24" i="6"/>
  <c r="A24" i="6"/>
  <c r="A25" i="6" s="1"/>
  <c r="A26" i="6" s="1"/>
  <c r="K22" i="6"/>
  <c r="K21" i="6"/>
  <c r="M21" i="6" s="1"/>
  <c r="J21" i="6"/>
  <c r="I21" i="6"/>
  <c r="F21" i="6"/>
  <c r="K20" i="6"/>
  <c r="J20" i="6"/>
  <c r="I20" i="6"/>
  <c r="H20" i="6"/>
  <c r="L20" i="6" s="1"/>
  <c r="M20" i="6" s="1"/>
  <c r="F20" i="6"/>
  <c r="A20" i="6"/>
  <c r="A21" i="6" s="1"/>
  <c r="A22" i="6" s="1"/>
  <c r="M19" i="6"/>
  <c r="K19" i="6"/>
  <c r="I19" i="6"/>
  <c r="J19" i="6" s="1"/>
  <c r="F19" i="6"/>
  <c r="K18" i="6"/>
  <c r="H18" i="6"/>
  <c r="I18" i="6" s="1"/>
  <c r="J18" i="6" s="1"/>
  <c r="F18" i="6"/>
  <c r="F22" i="6" s="1"/>
  <c r="K17" i="6"/>
  <c r="M17" i="6" s="1"/>
  <c r="J17" i="6"/>
  <c r="I17" i="6"/>
  <c r="F17" i="6"/>
  <c r="A17" i="6"/>
  <c r="A18" i="6" s="1"/>
  <c r="A19" i="6" s="1"/>
  <c r="K14" i="6"/>
  <c r="M14" i="6" s="1"/>
  <c r="I14" i="6"/>
  <c r="J14" i="6" s="1"/>
  <c r="F14" i="6"/>
  <c r="K13" i="6"/>
  <c r="M13" i="6" s="1"/>
  <c r="I13" i="6"/>
  <c r="J13" i="6" s="1"/>
  <c r="F13" i="6"/>
  <c r="L12" i="6"/>
  <c r="L15" i="6" s="1"/>
  <c r="K12" i="6"/>
  <c r="M12" i="6" s="1"/>
  <c r="J12" i="6"/>
  <c r="I12" i="6"/>
  <c r="F12" i="6"/>
  <c r="A12" i="6"/>
  <c r="A13" i="6" s="1"/>
  <c r="A14" i="6" s="1"/>
  <c r="A15" i="6" s="1"/>
  <c r="M11" i="6"/>
  <c r="K11" i="6"/>
  <c r="J11" i="6"/>
  <c r="I11" i="6"/>
  <c r="F11" i="6"/>
  <c r="F15" i="6" s="1"/>
  <c r="M4" i="6"/>
  <c r="M25" i="6" l="1"/>
  <c r="K30" i="6"/>
  <c r="M83" i="6"/>
  <c r="K87" i="6"/>
  <c r="M22" i="6"/>
  <c r="I25" i="6"/>
  <c r="J25" i="6" s="1"/>
  <c r="L78" i="6"/>
  <c r="M78" i="6" s="1"/>
  <c r="F93" i="6"/>
  <c r="E108" i="6" s="1"/>
  <c r="K15" i="6"/>
  <c r="M15" i="6" s="1"/>
  <c r="L18" i="6"/>
  <c r="L22" i="6" s="1"/>
  <c r="F30" i="6"/>
  <c r="L28" i="6"/>
  <c r="L30" i="6" s="1"/>
  <c r="I28" i="6"/>
  <c r="J28" i="6" s="1"/>
  <c r="M29" i="6"/>
  <c r="L87" i="6"/>
  <c r="M85" i="6"/>
  <c r="L51" i="6"/>
  <c r="K70" i="6"/>
  <c r="M70" i="6" s="1"/>
  <c r="I29" i="6"/>
  <c r="J29" i="6" s="1"/>
  <c r="M55" i="6"/>
  <c r="L81" i="6"/>
  <c r="M81" i="6" s="1"/>
  <c r="L90" i="6"/>
  <c r="M64" i="6"/>
  <c r="M30" i="6" l="1"/>
  <c r="E117" i="6"/>
  <c r="E116" i="6"/>
  <c r="E115" i="6"/>
  <c r="E114" i="6"/>
  <c r="E113" i="6"/>
  <c r="E112" i="6"/>
  <c r="M28" i="6"/>
  <c r="K93" i="6"/>
  <c r="M87" i="6"/>
  <c r="M90" i="6"/>
  <c r="L92" i="6"/>
  <c r="M18" i="6"/>
  <c r="M92" i="6" l="1"/>
  <c r="L93" i="6"/>
  <c r="J108" i="6" s="1"/>
  <c r="E118" i="6"/>
  <c r="E120" i="6" s="1"/>
  <c r="E123" i="6" s="1"/>
  <c r="H108" i="6"/>
  <c r="L108" i="6" l="1"/>
  <c r="H117" i="6"/>
  <c r="L117" i="6" s="1"/>
  <c r="H113" i="6"/>
  <c r="H116" i="6"/>
  <c r="H112" i="6"/>
  <c r="H115" i="6"/>
  <c r="L115" i="6" s="1"/>
  <c r="H114" i="6"/>
  <c r="L114" i="6" s="1"/>
  <c r="J117" i="6"/>
  <c r="J115" i="6"/>
  <c r="J113" i="6"/>
  <c r="J116" i="6"/>
  <c r="J114" i="6"/>
  <c r="J112" i="6"/>
  <c r="M93" i="6"/>
  <c r="L113" i="6" l="1"/>
  <c r="J118" i="6"/>
  <c r="J123" i="6" s="1"/>
  <c r="J125" i="6" s="1"/>
  <c r="J129" i="6" s="1"/>
  <c r="H123" i="6"/>
  <c r="H125" i="6" s="1"/>
  <c r="L112" i="6"/>
  <c r="H118" i="6"/>
  <c r="L116" i="6"/>
  <c r="H127" i="6" l="1"/>
  <c r="L127" i="6" s="1"/>
  <c r="H129" i="6"/>
  <c r="L129" i="6" s="1"/>
  <c r="L125" i="6"/>
  <c r="L118" i="6"/>
  <c r="L123" i="6" s="1"/>
  <c r="C222" i="4" l="1"/>
  <c r="L202" i="4"/>
  <c r="L201" i="4"/>
  <c r="K201" i="4"/>
  <c r="I201" i="4"/>
  <c r="J201" i="4" s="1"/>
  <c r="F201" i="4"/>
  <c r="F202" i="4" s="1"/>
  <c r="F198" i="4"/>
  <c r="M197" i="4"/>
  <c r="L197" i="4"/>
  <c r="K197" i="4"/>
  <c r="J197" i="4"/>
  <c r="I197" i="4"/>
  <c r="F197" i="4"/>
  <c r="L196" i="4"/>
  <c r="K196" i="4"/>
  <c r="M196" i="4" s="1"/>
  <c r="I196" i="4"/>
  <c r="J196" i="4" s="1"/>
  <c r="F196" i="4"/>
  <c r="M195" i="4"/>
  <c r="L195" i="4"/>
  <c r="K195" i="4"/>
  <c r="I195" i="4"/>
  <c r="J195" i="4" s="1"/>
  <c r="F195" i="4"/>
  <c r="L194" i="4"/>
  <c r="K194" i="4"/>
  <c r="I194" i="4"/>
  <c r="J194" i="4" s="1"/>
  <c r="F194" i="4"/>
  <c r="M193" i="4"/>
  <c r="L193" i="4"/>
  <c r="K193" i="4"/>
  <c r="I193" i="4"/>
  <c r="J193" i="4" s="1"/>
  <c r="F193" i="4"/>
  <c r="L192" i="4"/>
  <c r="K192" i="4"/>
  <c r="I192" i="4"/>
  <c r="J192" i="4" s="1"/>
  <c r="F192" i="4"/>
  <c r="L189" i="4"/>
  <c r="L190" i="4" s="1"/>
  <c r="M190" i="4" s="1"/>
  <c r="K189" i="4"/>
  <c r="K190" i="4" s="1"/>
  <c r="I189" i="4"/>
  <c r="J189" i="4" s="1"/>
  <c r="F189" i="4"/>
  <c r="A182" i="4"/>
  <c r="J181" i="4"/>
  <c r="I181" i="4"/>
  <c r="H181" i="4"/>
  <c r="L181" i="4" s="1"/>
  <c r="M181" i="4" s="1"/>
  <c r="F181" i="4"/>
  <c r="A181" i="4"/>
  <c r="H180" i="4"/>
  <c r="F180" i="4"/>
  <c r="H179" i="4"/>
  <c r="F179" i="4"/>
  <c r="F182" i="4" s="1"/>
  <c r="A179" i="4"/>
  <c r="A180" i="4" s="1"/>
  <c r="F177" i="4"/>
  <c r="L176" i="4"/>
  <c r="H176" i="4"/>
  <c r="I176" i="4" s="1"/>
  <c r="J176" i="4" s="1"/>
  <c r="F176" i="4"/>
  <c r="A176" i="4"/>
  <c r="A177" i="4" s="1"/>
  <c r="J173" i="4"/>
  <c r="I173" i="4"/>
  <c r="H173" i="4"/>
  <c r="L173" i="4" s="1"/>
  <c r="M173" i="4" s="1"/>
  <c r="F173" i="4"/>
  <c r="M171" i="4"/>
  <c r="H171" i="4"/>
  <c r="L171" i="4" s="1"/>
  <c r="D171" i="4"/>
  <c r="F171" i="4" s="1"/>
  <c r="A171" i="4"/>
  <c r="A172" i="4" s="1"/>
  <c r="A173" i="4" s="1"/>
  <c r="A174" i="4" s="1"/>
  <c r="H170" i="4"/>
  <c r="D170" i="4"/>
  <c r="F170" i="4" s="1"/>
  <c r="A170" i="4"/>
  <c r="M168" i="4"/>
  <c r="M167" i="4"/>
  <c r="L167" i="4"/>
  <c r="L168" i="4" s="1"/>
  <c r="I167" i="4"/>
  <c r="J167" i="4" s="1"/>
  <c r="F167" i="4"/>
  <c r="F168" i="4" s="1"/>
  <c r="A166" i="4"/>
  <c r="A167" i="4" s="1"/>
  <c r="A168" i="4" s="1"/>
  <c r="M163" i="4"/>
  <c r="L163" i="4"/>
  <c r="I163" i="4"/>
  <c r="J163" i="4" s="1"/>
  <c r="F163" i="4"/>
  <c r="L162" i="4"/>
  <c r="J162" i="4"/>
  <c r="I162" i="4"/>
  <c r="F162" i="4"/>
  <c r="M161" i="4"/>
  <c r="K161" i="4"/>
  <c r="I161" i="4"/>
  <c r="J161" i="4" s="1"/>
  <c r="F161" i="4"/>
  <c r="K160" i="4"/>
  <c r="M160" i="4" s="1"/>
  <c r="J160" i="4"/>
  <c r="I160" i="4"/>
  <c r="F160" i="4"/>
  <c r="M159" i="4"/>
  <c r="K159" i="4"/>
  <c r="I159" i="4"/>
  <c r="J159" i="4" s="1"/>
  <c r="F159" i="4"/>
  <c r="K158" i="4"/>
  <c r="M158" i="4" s="1"/>
  <c r="J158" i="4"/>
  <c r="I158" i="4"/>
  <c r="F158" i="4"/>
  <c r="M157" i="4"/>
  <c r="K157" i="4"/>
  <c r="I157" i="4"/>
  <c r="J157" i="4" s="1"/>
  <c r="F157" i="4"/>
  <c r="K156" i="4"/>
  <c r="M156" i="4" s="1"/>
  <c r="J156" i="4"/>
  <c r="I156" i="4"/>
  <c r="F156" i="4"/>
  <c r="M155" i="4"/>
  <c r="K155" i="4"/>
  <c r="I155" i="4"/>
  <c r="J155" i="4" s="1"/>
  <c r="F155" i="4"/>
  <c r="K154" i="4"/>
  <c r="J154" i="4"/>
  <c r="I154" i="4"/>
  <c r="F154" i="4"/>
  <c r="F164" i="4" s="1"/>
  <c r="A154" i="4"/>
  <c r="A155" i="4" s="1"/>
  <c r="A156" i="4" s="1"/>
  <c r="A157" i="4" s="1"/>
  <c r="A158" i="4" s="1"/>
  <c r="A159" i="4" s="1"/>
  <c r="A160" i="4" s="1"/>
  <c r="A161" i="4" s="1"/>
  <c r="A162" i="4" s="1"/>
  <c r="A163" i="4" s="1"/>
  <c r="A164" i="4" s="1"/>
  <c r="M151" i="4"/>
  <c r="K151" i="4"/>
  <c r="I151" i="4"/>
  <c r="J151" i="4" s="1"/>
  <c r="F151" i="4"/>
  <c r="K150" i="4"/>
  <c r="M150" i="4" s="1"/>
  <c r="J150" i="4"/>
  <c r="I150" i="4"/>
  <c r="F150" i="4"/>
  <c r="A150" i="4"/>
  <c r="A151" i="4" s="1"/>
  <c r="A152" i="4" s="1"/>
  <c r="M149" i="4"/>
  <c r="K149" i="4"/>
  <c r="I149" i="4"/>
  <c r="J149" i="4" s="1"/>
  <c r="F149" i="4"/>
  <c r="F152" i="4" s="1"/>
  <c r="A149" i="4"/>
  <c r="K146" i="4"/>
  <c r="M146" i="4" s="1"/>
  <c r="J146" i="4"/>
  <c r="I146" i="4"/>
  <c r="F146" i="4"/>
  <c r="M145" i="4"/>
  <c r="K145" i="4"/>
  <c r="I145" i="4"/>
  <c r="J145" i="4" s="1"/>
  <c r="F145" i="4"/>
  <c r="K144" i="4"/>
  <c r="J144" i="4"/>
  <c r="I144" i="4"/>
  <c r="F144" i="4"/>
  <c r="A144" i="4"/>
  <c r="A145" i="4" s="1"/>
  <c r="A146" i="4" s="1"/>
  <c r="A147" i="4" s="1"/>
  <c r="M143" i="4"/>
  <c r="K143" i="4"/>
  <c r="I143" i="4"/>
  <c r="J143" i="4" s="1"/>
  <c r="F143" i="4"/>
  <c r="F147" i="4" s="1"/>
  <c r="A143" i="4"/>
  <c r="K140" i="4"/>
  <c r="M140" i="4" s="1"/>
  <c r="J140" i="4"/>
  <c r="I140" i="4"/>
  <c r="F140" i="4"/>
  <c r="M139" i="4"/>
  <c r="K139" i="4"/>
  <c r="I139" i="4"/>
  <c r="J139" i="4" s="1"/>
  <c r="F139" i="4"/>
  <c r="K138" i="4"/>
  <c r="M138" i="4" s="1"/>
  <c r="J138" i="4"/>
  <c r="I138" i="4"/>
  <c r="F138" i="4"/>
  <c r="M137" i="4"/>
  <c r="K137" i="4"/>
  <c r="I137" i="4"/>
  <c r="J137" i="4" s="1"/>
  <c r="F137" i="4"/>
  <c r="K136" i="4"/>
  <c r="M136" i="4" s="1"/>
  <c r="J136" i="4"/>
  <c r="I136" i="4"/>
  <c r="F136" i="4"/>
  <c r="M135" i="4"/>
  <c r="K135" i="4"/>
  <c r="I135" i="4"/>
  <c r="J135" i="4" s="1"/>
  <c r="F135" i="4"/>
  <c r="K134" i="4"/>
  <c r="M134" i="4" s="1"/>
  <c r="J134" i="4"/>
  <c r="I134" i="4"/>
  <c r="F134" i="4"/>
  <c r="A134" i="4"/>
  <c r="A135" i="4" s="1"/>
  <c r="A136" i="4" s="1"/>
  <c r="A137" i="4" s="1"/>
  <c r="A138" i="4" s="1"/>
  <c r="A139" i="4" s="1"/>
  <c r="A140" i="4" s="1"/>
  <c r="A141" i="4" s="1"/>
  <c r="M133" i="4"/>
  <c r="K133" i="4"/>
  <c r="I133" i="4"/>
  <c r="J133" i="4" s="1"/>
  <c r="F133" i="4"/>
  <c r="K132" i="4"/>
  <c r="J132" i="4"/>
  <c r="I132" i="4"/>
  <c r="F132" i="4"/>
  <c r="A132" i="4"/>
  <c r="A133" i="4" s="1"/>
  <c r="M131" i="4"/>
  <c r="K131" i="4"/>
  <c r="I131" i="4"/>
  <c r="J131" i="4" s="1"/>
  <c r="F131" i="4"/>
  <c r="F141" i="4" s="1"/>
  <c r="K130" i="4"/>
  <c r="M130" i="4" s="1"/>
  <c r="J130" i="4"/>
  <c r="I130" i="4"/>
  <c r="F130" i="4"/>
  <c r="A130" i="4"/>
  <c r="A131" i="4" s="1"/>
  <c r="M129" i="4"/>
  <c r="K129" i="4"/>
  <c r="I129" i="4"/>
  <c r="J129" i="4" s="1"/>
  <c r="F129" i="4"/>
  <c r="A129" i="4"/>
  <c r="K126" i="4"/>
  <c r="M126" i="4" s="1"/>
  <c r="K125" i="4"/>
  <c r="M125" i="4" s="1"/>
  <c r="J125" i="4"/>
  <c r="I125" i="4"/>
  <c r="F125" i="4"/>
  <c r="M124" i="4"/>
  <c r="K124" i="4"/>
  <c r="I124" i="4"/>
  <c r="J124" i="4" s="1"/>
  <c r="F124" i="4"/>
  <c r="K123" i="4"/>
  <c r="M123" i="4" s="1"/>
  <c r="J123" i="4"/>
  <c r="I123" i="4"/>
  <c r="F123" i="4"/>
  <c r="M122" i="4"/>
  <c r="K122" i="4"/>
  <c r="I122" i="4"/>
  <c r="J122" i="4" s="1"/>
  <c r="F122" i="4"/>
  <c r="K121" i="4"/>
  <c r="M121" i="4" s="1"/>
  <c r="J121" i="4"/>
  <c r="I121" i="4"/>
  <c r="F121" i="4"/>
  <c r="M120" i="4"/>
  <c r="K120" i="4"/>
  <c r="I120" i="4"/>
  <c r="J120" i="4" s="1"/>
  <c r="F120" i="4"/>
  <c r="K119" i="4"/>
  <c r="M119" i="4" s="1"/>
  <c r="J119" i="4"/>
  <c r="I119" i="4"/>
  <c r="F119" i="4"/>
  <c r="M118" i="4"/>
  <c r="K118" i="4"/>
  <c r="I118" i="4"/>
  <c r="J118" i="4" s="1"/>
  <c r="F118" i="4"/>
  <c r="F126" i="4" s="1"/>
  <c r="K117" i="4"/>
  <c r="M117" i="4" s="1"/>
  <c r="J117" i="4"/>
  <c r="I117" i="4"/>
  <c r="F117" i="4"/>
  <c r="M116" i="4"/>
  <c r="K116" i="4"/>
  <c r="I116" i="4"/>
  <c r="J116" i="4" s="1"/>
  <c r="F116" i="4"/>
  <c r="K115" i="4"/>
  <c r="M115" i="4" s="1"/>
  <c r="J115" i="4"/>
  <c r="I115" i="4"/>
  <c r="F115" i="4"/>
  <c r="A115" i="4"/>
  <c r="A116" i="4" s="1"/>
  <c r="A117" i="4" s="1"/>
  <c r="A118" i="4" s="1"/>
  <c r="A119" i="4" s="1"/>
  <c r="A120" i="4" s="1"/>
  <c r="A121" i="4" s="1"/>
  <c r="A122" i="4" s="1"/>
  <c r="A123" i="4" s="1"/>
  <c r="A124" i="4" s="1"/>
  <c r="A125" i="4" s="1"/>
  <c r="A126" i="4" s="1"/>
  <c r="M114" i="4"/>
  <c r="K114" i="4"/>
  <c r="I114" i="4"/>
  <c r="J114" i="4" s="1"/>
  <c r="F114" i="4"/>
  <c r="A114" i="4"/>
  <c r="L111" i="4"/>
  <c r="M111" i="4" s="1"/>
  <c r="J111" i="4"/>
  <c r="I111" i="4"/>
  <c r="F111" i="4"/>
  <c r="F112" i="4" s="1"/>
  <c r="A111" i="4"/>
  <c r="A112" i="4" s="1"/>
  <c r="M108" i="4"/>
  <c r="L108" i="4"/>
  <c r="I108" i="4"/>
  <c r="J108" i="4" s="1"/>
  <c r="F108" i="4"/>
  <c r="L107" i="4"/>
  <c r="M107" i="4" s="1"/>
  <c r="J107" i="4"/>
  <c r="I107" i="4"/>
  <c r="F107" i="4"/>
  <c r="M106" i="4"/>
  <c r="L106" i="4"/>
  <c r="I106" i="4"/>
  <c r="J106" i="4" s="1"/>
  <c r="F106" i="4"/>
  <c r="L105" i="4"/>
  <c r="M105" i="4" s="1"/>
  <c r="J105" i="4"/>
  <c r="I105" i="4"/>
  <c r="F105" i="4"/>
  <c r="M104" i="4"/>
  <c r="L104" i="4"/>
  <c r="I104" i="4"/>
  <c r="J104" i="4" s="1"/>
  <c r="F104" i="4"/>
  <c r="L103" i="4"/>
  <c r="J103" i="4"/>
  <c r="I103" i="4"/>
  <c r="F103" i="4"/>
  <c r="F109" i="4" s="1"/>
  <c r="A103" i="4"/>
  <c r="A104" i="4" s="1"/>
  <c r="A105" i="4" s="1"/>
  <c r="A106" i="4" s="1"/>
  <c r="A107" i="4" s="1"/>
  <c r="A108" i="4" s="1"/>
  <c r="A109" i="4" s="1"/>
  <c r="M100" i="4"/>
  <c r="I100" i="4"/>
  <c r="J100" i="4" s="1"/>
  <c r="G100" i="4"/>
  <c r="K100" i="4" s="1"/>
  <c r="F100" i="4"/>
  <c r="K99" i="4"/>
  <c r="M99" i="4" s="1"/>
  <c r="I99" i="4"/>
  <c r="J99" i="4" s="1"/>
  <c r="F99" i="4"/>
  <c r="A99" i="4"/>
  <c r="A100" i="4" s="1"/>
  <c r="A101" i="4" s="1"/>
  <c r="G98" i="4"/>
  <c r="K98" i="4" s="1"/>
  <c r="M98" i="4" s="1"/>
  <c r="K97" i="4"/>
  <c r="M97" i="4" s="1"/>
  <c r="I97" i="4"/>
  <c r="J97" i="4" s="1"/>
  <c r="F97" i="4"/>
  <c r="D97" i="4"/>
  <c r="G96" i="4"/>
  <c r="K96" i="4" s="1"/>
  <c r="D96" i="4"/>
  <c r="D98" i="4" s="1"/>
  <c r="F98" i="4" s="1"/>
  <c r="A96" i="4"/>
  <c r="A97" i="4" s="1"/>
  <c r="A98" i="4" s="1"/>
  <c r="A94" i="4"/>
  <c r="F93" i="4"/>
  <c r="K92" i="4"/>
  <c r="M92" i="4" s="1"/>
  <c r="J92" i="4"/>
  <c r="I92" i="4"/>
  <c r="F92" i="4"/>
  <c r="A92" i="4"/>
  <c r="A93" i="4" s="1"/>
  <c r="G91" i="4"/>
  <c r="I91" i="4" s="1"/>
  <c r="J91" i="4" s="1"/>
  <c r="F91" i="4"/>
  <c r="F94" i="4" s="1"/>
  <c r="A91" i="4"/>
  <c r="K89" i="4"/>
  <c r="M89" i="4" s="1"/>
  <c r="K88" i="4"/>
  <c r="M88" i="4" s="1"/>
  <c r="G88" i="4"/>
  <c r="I88" i="4" s="1"/>
  <c r="J88" i="4" s="1"/>
  <c r="F88" i="4"/>
  <c r="F89" i="4" s="1"/>
  <c r="K87" i="4"/>
  <c r="M87" i="4" s="1"/>
  <c r="I87" i="4"/>
  <c r="J87" i="4" s="1"/>
  <c r="G87" i="4"/>
  <c r="F87" i="4"/>
  <c r="A86" i="4"/>
  <c r="A87" i="4" s="1"/>
  <c r="A88" i="4" s="1"/>
  <c r="A89" i="4" s="1"/>
  <c r="M83" i="4"/>
  <c r="K83" i="4"/>
  <c r="I83" i="4"/>
  <c r="J83" i="4" s="1"/>
  <c r="F83" i="4"/>
  <c r="K82" i="4"/>
  <c r="M82" i="4" s="1"/>
  <c r="J82" i="4"/>
  <c r="I82" i="4"/>
  <c r="F82" i="4"/>
  <c r="M81" i="4"/>
  <c r="K81" i="4"/>
  <c r="I81" i="4"/>
  <c r="J81" i="4" s="1"/>
  <c r="F81" i="4"/>
  <c r="K80" i="4"/>
  <c r="M80" i="4" s="1"/>
  <c r="J80" i="4"/>
  <c r="I80" i="4"/>
  <c r="F80" i="4"/>
  <c r="M79" i="4"/>
  <c r="K79" i="4"/>
  <c r="I79" i="4"/>
  <c r="J79" i="4" s="1"/>
  <c r="F79" i="4"/>
  <c r="F84" i="4" s="1"/>
  <c r="K78" i="4"/>
  <c r="J78" i="4"/>
  <c r="I78" i="4"/>
  <c r="F78" i="4"/>
  <c r="A78" i="4"/>
  <c r="A79" i="4" s="1"/>
  <c r="A80" i="4" s="1"/>
  <c r="A81" i="4" s="1"/>
  <c r="A82" i="4" s="1"/>
  <c r="A83" i="4" s="1"/>
  <c r="M75" i="4"/>
  <c r="K75" i="4"/>
  <c r="I75" i="4"/>
  <c r="J75" i="4" s="1"/>
  <c r="F75" i="4"/>
  <c r="K74" i="4"/>
  <c r="M74" i="4" s="1"/>
  <c r="J74" i="4"/>
  <c r="I74" i="4"/>
  <c r="F74" i="4"/>
  <c r="A74" i="4"/>
  <c r="A75" i="4" s="1"/>
  <c r="A76" i="4" s="1"/>
  <c r="M73" i="4"/>
  <c r="K73" i="4"/>
  <c r="I73" i="4"/>
  <c r="J73" i="4" s="1"/>
  <c r="F73" i="4"/>
  <c r="A73" i="4"/>
  <c r="F72" i="4"/>
  <c r="K71" i="4"/>
  <c r="M71" i="4" s="1"/>
  <c r="M70" i="4"/>
  <c r="K70" i="4"/>
  <c r="I70" i="4"/>
  <c r="J70" i="4" s="1"/>
  <c r="F70" i="4"/>
  <c r="A70" i="4"/>
  <c r="A71" i="4" s="1"/>
  <c r="K69" i="4"/>
  <c r="M69" i="4" s="1"/>
  <c r="I69" i="4"/>
  <c r="J69" i="4" s="1"/>
  <c r="F69" i="4"/>
  <c r="M68" i="4"/>
  <c r="K68" i="4"/>
  <c r="I68" i="4"/>
  <c r="J68" i="4" s="1"/>
  <c r="F68" i="4"/>
  <c r="F71" i="4" s="1"/>
  <c r="A68" i="4"/>
  <c r="A69" i="4" s="1"/>
  <c r="K65" i="4"/>
  <c r="M65" i="4" s="1"/>
  <c r="J65" i="4"/>
  <c r="I65" i="4"/>
  <c r="F65" i="4"/>
  <c r="M64" i="4"/>
  <c r="K64" i="4"/>
  <c r="I64" i="4"/>
  <c r="J64" i="4" s="1"/>
  <c r="F64" i="4"/>
  <c r="K63" i="4"/>
  <c r="M63" i="4" s="1"/>
  <c r="I63" i="4"/>
  <c r="J63" i="4" s="1"/>
  <c r="F63" i="4"/>
  <c r="M62" i="4"/>
  <c r="K62" i="4"/>
  <c r="I62" i="4"/>
  <c r="J62" i="4" s="1"/>
  <c r="F62" i="4"/>
  <c r="K61" i="4"/>
  <c r="M61" i="4" s="1"/>
  <c r="I61" i="4"/>
  <c r="J61" i="4" s="1"/>
  <c r="F61" i="4"/>
  <c r="K60" i="4"/>
  <c r="M60" i="4" s="1"/>
  <c r="I60" i="4"/>
  <c r="J60" i="4" s="1"/>
  <c r="F60" i="4"/>
  <c r="K59" i="4"/>
  <c r="M59" i="4" s="1"/>
  <c r="J59" i="4"/>
  <c r="I59" i="4"/>
  <c r="F59" i="4"/>
  <c r="K58" i="4"/>
  <c r="K66" i="4" s="1"/>
  <c r="M66" i="4" s="1"/>
  <c r="I58" i="4"/>
  <c r="J58" i="4" s="1"/>
  <c r="F58" i="4"/>
  <c r="F66" i="4" s="1"/>
  <c r="A58" i="4"/>
  <c r="A59" i="4" s="1"/>
  <c r="A60" i="4" s="1"/>
  <c r="A61" i="4" s="1"/>
  <c r="A62" i="4" s="1"/>
  <c r="A63" i="4" s="1"/>
  <c r="A64" i="4" s="1"/>
  <c r="A65" i="4" s="1"/>
  <c r="A66" i="4" s="1"/>
  <c r="K56" i="4"/>
  <c r="M56" i="4" s="1"/>
  <c r="L55" i="4"/>
  <c r="L56" i="4" s="1"/>
  <c r="K55" i="4"/>
  <c r="M55" i="4" s="1"/>
  <c r="I55" i="4"/>
  <c r="J55" i="4" s="1"/>
  <c r="F55" i="4"/>
  <c r="F56" i="4" s="1"/>
  <c r="A55" i="4"/>
  <c r="A56" i="4" s="1"/>
  <c r="A53" i="4"/>
  <c r="K52" i="4"/>
  <c r="M52" i="4" s="1"/>
  <c r="I52" i="4"/>
  <c r="J52" i="4" s="1"/>
  <c r="F52" i="4"/>
  <c r="M51" i="4"/>
  <c r="M53" i="4" s="1"/>
  <c r="K51" i="4"/>
  <c r="K53" i="4" s="1"/>
  <c r="I51" i="4"/>
  <c r="J51" i="4" s="1"/>
  <c r="F51" i="4"/>
  <c r="F53" i="4" s="1"/>
  <c r="A51" i="4"/>
  <c r="A52" i="4" s="1"/>
  <c r="K48" i="4"/>
  <c r="M48" i="4" s="1"/>
  <c r="J48" i="4"/>
  <c r="I48" i="4"/>
  <c r="F48" i="4"/>
  <c r="M47" i="4"/>
  <c r="K47" i="4"/>
  <c r="I47" i="4"/>
  <c r="J47" i="4" s="1"/>
  <c r="F47" i="4"/>
  <c r="A47" i="4"/>
  <c r="A48" i="4" s="1"/>
  <c r="A49" i="4" s="1"/>
  <c r="K46" i="4"/>
  <c r="M46" i="4" s="1"/>
  <c r="I46" i="4"/>
  <c r="J46" i="4" s="1"/>
  <c r="F46" i="4"/>
  <c r="M45" i="4"/>
  <c r="K45" i="4"/>
  <c r="I45" i="4"/>
  <c r="J45" i="4" s="1"/>
  <c r="F45" i="4"/>
  <c r="F49" i="4" s="1"/>
  <c r="A45" i="4"/>
  <c r="A46" i="4" s="1"/>
  <c r="K44" i="4"/>
  <c r="M44" i="4" s="1"/>
  <c r="I44" i="4"/>
  <c r="J44" i="4" s="1"/>
  <c r="F44" i="4"/>
  <c r="A44" i="4"/>
  <c r="L42" i="4"/>
  <c r="M41" i="4"/>
  <c r="L41" i="4"/>
  <c r="K41" i="4"/>
  <c r="J41" i="4"/>
  <c r="I41" i="4"/>
  <c r="F41" i="4"/>
  <c r="M40" i="4"/>
  <c r="L40" i="4"/>
  <c r="K40" i="4"/>
  <c r="I40" i="4"/>
  <c r="J40" i="4" s="1"/>
  <c r="F40" i="4"/>
  <c r="K39" i="4"/>
  <c r="J39" i="4"/>
  <c r="I39" i="4"/>
  <c r="F39" i="4"/>
  <c r="A39" i="4"/>
  <c r="A40" i="4" s="1"/>
  <c r="A41" i="4" s="1"/>
  <c r="A42" i="4" s="1"/>
  <c r="M36" i="4"/>
  <c r="K36" i="4"/>
  <c r="I36" i="4"/>
  <c r="J36" i="4" s="1"/>
  <c r="F36" i="4"/>
  <c r="K35" i="4"/>
  <c r="M35" i="4" s="1"/>
  <c r="J35" i="4"/>
  <c r="I35" i="4"/>
  <c r="F35" i="4"/>
  <c r="M34" i="4"/>
  <c r="K34" i="4"/>
  <c r="I34" i="4"/>
  <c r="J34" i="4" s="1"/>
  <c r="F34" i="4"/>
  <c r="K33" i="4"/>
  <c r="M33" i="4" s="1"/>
  <c r="J33" i="4"/>
  <c r="I33" i="4"/>
  <c r="F33" i="4"/>
  <c r="M32" i="4"/>
  <c r="K32" i="4"/>
  <c r="I32" i="4"/>
  <c r="J32" i="4" s="1"/>
  <c r="F32" i="4"/>
  <c r="K31" i="4"/>
  <c r="M31" i="4" s="1"/>
  <c r="J31" i="4"/>
  <c r="I31" i="4"/>
  <c r="F31" i="4"/>
  <c r="M30" i="4"/>
  <c r="K30" i="4"/>
  <c r="I30" i="4"/>
  <c r="J30" i="4" s="1"/>
  <c r="F30" i="4"/>
  <c r="M29" i="4"/>
  <c r="K29" i="4"/>
  <c r="J29" i="4"/>
  <c r="I29" i="4"/>
  <c r="F29" i="4"/>
  <c r="M28" i="4"/>
  <c r="K28" i="4"/>
  <c r="J28" i="4"/>
  <c r="I28" i="4"/>
  <c r="F28" i="4"/>
  <c r="M27" i="4"/>
  <c r="K27" i="4"/>
  <c r="J27" i="4"/>
  <c r="I27" i="4"/>
  <c r="F27" i="4"/>
  <c r="M26" i="4"/>
  <c r="K26" i="4"/>
  <c r="J26" i="4"/>
  <c r="I26" i="4"/>
  <c r="F26" i="4"/>
  <c r="K25" i="4"/>
  <c r="M25" i="4" s="1"/>
  <c r="J25" i="4"/>
  <c r="I25" i="4"/>
  <c r="F25" i="4"/>
  <c r="A25" i="4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M24" i="4"/>
  <c r="K24" i="4"/>
  <c r="I24" i="4"/>
  <c r="J24" i="4" s="1"/>
  <c r="F24" i="4"/>
  <c r="K23" i="4"/>
  <c r="J23" i="4"/>
  <c r="I23" i="4"/>
  <c r="F23" i="4"/>
  <c r="A23" i="4"/>
  <c r="A24" i="4" s="1"/>
  <c r="M21" i="4"/>
  <c r="M20" i="4"/>
  <c r="K20" i="4"/>
  <c r="J20" i="4"/>
  <c r="I20" i="4"/>
  <c r="F20" i="4"/>
  <c r="M19" i="4"/>
  <c r="K19" i="4"/>
  <c r="K21" i="4" s="1"/>
  <c r="J19" i="4"/>
  <c r="I19" i="4"/>
  <c r="F19" i="4"/>
  <c r="F21" i="4" s="1"/>
  <c r="A19" i="4"/>
  <c r="A20" i="4" s="1"/>
  <c r="A21" i="4" s="1"/>
  <c r="A17" i="4"/>
  <c r="M16" i="4"/>
  <c r="K16" i="4"/>
  <c r="I16" i="4"/>
  <c r="J16" i="4" s="1"/>
  <c r="F16" i="4"/>
  <c r="K15" i="4"/>
  <c r="M15" i="4" s="1"/>
  <c r="J15" i="4"/>
  <c r="I15" i="4"/>
  <c r="F15" i="4"/>
  <c r="A15" i="4"/>
  <c r="A16" i="4" s="1"/>
  <c r="M14" i="4"/>
  <c r="K14" i="4"/>
  <c r="I14" i="4"/>
  <c r="J14" i="4" s="1"/>
  <c r="F14" i="4"/>
  <c r="M13" i="4"/>
  <c r="K13" i="4"/>
  <c r="J13" i="4"/>
  <c r="I13" i="4"/>
  <c r="F13" i="4"/>
  <c r="A13" i="4"/>
  <c r="A14" i="4" s="1"/>
  <c r="M12" i="4"/>
  <c r="M17" i="4" s="1"/>
  <c r="K12" i="4"/>
  <c r="K17" i="4" s="1"/>
  <c r="J12" i="4"/>
  <c r="I12" i="4"/>
  <c r="F12" i="4"/>
  <c r="F17" i="4" s="1"/>
  <c r="A12" i="4"/>
  <c r="K101" i="4" l="1"/>
  <c r="M101" i="4" s="1"/>
  <c r="M96" i="4"/>
  <c r="L109" i="4"/>
  <c r="M109" i="4" s="1"/>
  <c r="M103" i="4"/>
  <c r="M144" i="4"/>
  <c r="K147" i="4"/>
  <c r="M147" i="4" s="1"/>
  <c r="M176" i="4"/>
  <c r="L177" i="4"/>
  <c r="M177" i="4" s="1"/>
  <c r="K37" i="4"/>
  <c r="M37" i="4" s="1"/>
  <c r="K91" i="4"/>
  <c r="K94" i="4" s="1"/>
  <c r="M94" i="4" s="1"/>
  <c r="L170" i="4"/>
  <c r="I170" i="4"/>
  <c r="J170" i="4" s="1"/>
  <c r="K198" i="4"/>
  <c r="M192" i="4"/>
  <c r="F37" i="4"/>
  <c r="M23" i="4"/>
  <c r="L112" i="4"/>
  <c r="M112" i="4" s="1"/>
  <c r="M152" i="4"/>
  <c r="M162" i="4"/>
  <c r="L164" i="4"/>
  <c r="L180" i="4"/>
  <c r="M180" i="4" s="1"/>
  <c r="I180" i="4"/>
  <c r="J180" i="4" s="1"/>
  <c r="M189" i="4"/>
  <c r="F42" i="4"/>
  <c r="K84" i="4"/>
  <c r="M84" i="4" s="1"/>
  <c r="M78" i="4"/>
  <c r="K164" i="4"/>
  <c r="M154" i="4"/>
  <c r="I179" i="4"/>
  <c r="J179" i="4" s="1"/>
  <c r="L179" i="4"/>
  <c r="M58" i="4"/>
  <c r="K42" i="4"/>
  <c r="M39" i="4"/>
  <c r="M42" i="4" s="1"/>
  <c r="F76" i="4"/>
  <c r="K76" i="4"/>
  <c r="M76" i="4" s="1"/>
  <c r="M132" i="4"/>
  <c r="K141" i="4"/>
  <c r="M141" i="4" s="1"/>
  <c r="M201" i="4"/>
  <c r="K202" i="4"/>
  <c r="M202" i="4" s="1"/>
  <c r="K49" i="4"/>
  <c r="M49" i="4" s="1"/>
  <c r="L198" i="4"/>
  <c r="F96" i="4"/>
  <c r="F101" i="4" s="1"/>
  <c r="K152" i="4"/>
  <c r="I171" i="4"/>
  <c r="J171" i="4" s="1"/>
  <c r="O203" i="4"/>
  <c r="M194" i="4"/>
  <c r="D172" i="4"/>
  <c r="M164" i="4" l="1"/>
  <c r="K183" i="4"/>
  <c r="M170" i="4"/>
  <c r="M198" i="4"/>
  <c r="L182" i="4"/>
  <c r="M179" i="4"/>
  <c r="M182" i="4" s="1"/>
  <c r="F172" i="4"/>
  <c r="F174" i="4" s="1"/>
  <c r="F183" i="4" s="1"/>
  <c r="F212" i="4" s="1"/>
  <c r="H172" i="4"/>
  <c r="H212" i="4" l="1"/>
  <c r="F221" i="4"/>
  <c r="F219" i="4"/>
  <c r="F215" i="4"/>
  <c r="F218" i="4"/>
  <c r="F220" i="4"/>
  <c r="F216" i="4"/>
  <c r="F217" i="4" s="1"/>
  <c r="L172" i="4"/>
  <c r="I172" i="4"/>
  <c r="J172" i="4" s="1"/>
  <c r="H220" i="4" l="1"/>
  <c r="H229" i="4" s="1"/>
  <c r="H218" i="4"/>
  <c r="H216" i="4"/>
  <c r="H217" i="4" s="1"/>
  <c r="H219" i="4"/>
  <c r="H215" i="4"/>
  <c r="H221" i="4"/>
  <c r="H230" i="4" s="1"/>
  <c r="F222" i="4"/>
  <c r="F225" i="4" s="1"/>
  <c r="M172" i="4"/>
  <c r="L174" i="4"/>
  <c r="H222" i="4" l="1"/>
  <c r="H227" i="4" s="1"/>
  <c r="M174" i="4"/>
  <c r="L183" i="4"/>
  <c r="J212" i="4" l="1"/>
  <c r="M183" i="4"/>
  <c r="H231" i="4"/>
  <c r="L231" i="4" l="1"/>
  <c r="H232" i="4"/>
  <c r="J221" i="4"/>
  <c r="J220" i="4"/>
  <c r="J219" i="4"/>
  <c r="L219" i="4" s="1"/>
  <c r="J218" i="4"/>
  <c r="L218" i="4" s="1"/>
  <c r="J216" i="4"/>
  <c r="J215" i="4"/>
  <c r="L212" i="4"/>
  <c r="L220" i="4" l="1"/>
  <c r="J229" i="4"/>
  <c r="L221" i="4"/>
  <c r="J230" i="4"/>
  <c r="L230" i="4" s="1"/>
  <c r="H234" i="4"/>
  <c r="J222" i="4"/>
  <c r="L215" i="4"/>
  <c r="L216" i="4"/>
  <c r="J217" i="4"/>
  <c r="L217" i="4" s="1"/>
  <c r="J232" i="4" l="1"/>
  <c r="L232" i="4" s="1"/>
  <c r="L229" i="4"/>
  <c r="J227" i="4"/>
  <c r="L222" i="4"/>
  <c r="J234" i="4" l="1"/>
  <c r="L227" i="4"/>
  <c r="O236" i="4" l="1"/>
  <c r="L234" i="4"/>
  <c r="K50" i="3" l="1"/>
  <c r="I50" i="3"/>
  <c r="J50" i="3" s="1"/>
  <c r="H50" i="3"/>
  <c r="L50" i="3" s="1"/>
  <c r="F50" i="3"/>
  <c r="L47" i="3"/>
  <c r="K46" i="3"/>
  <c r="I46" i="3"/>
  <c r="J46" i="3" s="1"/>
  <c r="F46" i="3"/>
  <c r="A46" i="3"/>
  <c r="A47" i="3" s="1"/>
  <c r="L45" i="3"/>
  <c r="K45" i="3"/>
  <c r="K47" i="3" s="1"/>
  <c r="M47" i="3" s="1"/>
  <c r="J45" i="3"/>
  <c r="I45" i="3"/>
  <c r="F45" i="3"/>
  <c r="F47" i="3" s="1"/>
  <c r="A45" i="3"/>
  <c r="F42" i="3"/>
  <c r="F41" i="3"/>
  <c r="F40" i="3"/>
  <c r="F39" i="3"/>
  <c r="F43" i="3" s="1"/>
  <c r="F38" i="3"/>
  <c r="A38" i="3"/>
  <c r="A39" i="3" s="1"/>
  <c r="A40" i="3" s="1"/>
  <c r="A41" i="3" s="1"/>
  <c r="A42" i="3" s="1"/>
  <c r="A43" i="3" s="1"/>
  <c r="L35" i="3"/>
  <c r="K35" i="3"/>
  <c r="M35" i="3" s="1"/>
  <c r="J35" i="3"/>
  <c r="I35" i="3"/>
  <c r="F35" i="3"/>
  <c r="M34" i="3"/>
  <c r="L34" i="3"/>
  <c r="K34" i="3"/>
  <c r="I34" i="3"/>
  <c r="J34" i="3" s="1"/>
  <c r="F34" i="3"/>
  <c r="O33" i="3"/>
  <c r="M33" i="3"/>
  <c r="L33" i="3"/>
  <c r="K33" i="3"/>
  <c r="K36" i="3" s="1"/>
  <c r="I33" i="3"/>
  <c r="J33" i="3" s="1"/>
  <c r="F33" i="3"/>
  <c r="L32" i="3"/>
  <c r="M32" i="3" s="1"/>
  <c r="K32" i="3"/>
  <c r="I32" i="3"/>
  <c r="J32" i="3" s="1"/>
  <c r="F32" i="3"/>
  <c r="O31" i="3"/>
  <c r="L31" i="3"/>
  <c r="L36" i="3" s="1"/>
  <c r="K31" i="3"/>
  <c r="I31" i="3"/>
  <c r="J31" i="3" s="1"/>
  <c r="F31" i="3"/>
  <c r="F36" i="3" s="1"/>
  <c r="A31" i="3"/>
  <c r="A32" i="3" s="1"/>
  <c r="A33" i="3" s="1"/>
  <c r="A34" i="3" s="1"/>
  <c r="A35" i="3" s="1"/>
  <c r="A36" i="3" s="1"/>
  <c r="L28" i="3"/>
  <c r="M28" i="3" s="1"/>
  <c r="M29" i="3" s="1"/>
  <c r="J28" i="3"/>
  <c r="I28" i="3"/>
  <c r="F28" i="3"/>
  <c r="A28" i="3"/>
  <c r="A29" i="3" s="1"/>
  <c r="F27" i="3"/>
  <c r="F29" i="3" s="1"/>
  <c r="A27" i="3"/>
  <c r="K25" i="3"/>
  <c r="K51" i="3" s="1"/>
  <c r="L24" i="3"/>
  <c r="M24" i="3" s="1"/>
  <c r="I24" i="3"/>
  <c r="J24" i="3" s="1"/>
  <c r="F24" i="3"/>
  <c r="L23" i="3"/>
  <c r="M23" i="3" s="1"/>
  <c r="I23" i="3"/>
  <c r="J23" i="3" s="1"/>
  <c r="F23" i="3"/>
  <c r="L22" i="3"/>
  <c r="M22" i="3" s="1"/>
  <c r="I22" i="3"/>
  <c r="J22" i="3" s="1"/>
  <c r="F22" i="3"/>
  <c r="K21" i="3"/>
  <c r="I21" i="3"/>
  <c r="J21" i="3" s="1"/>
  <c r="F21" i="3"/>
  <c r="K20" i="3"/>
  <c r="I20" i="3"/>
  <c r="J20" i="3" s="1"/>
  <c r="F20" i="3"/>
  <c r="L19" i="3"/>
  <c r="M19" i="3" s="1"/>
  <c r="K19" i="3"/>
  <c r="I19" i="3"/>
  <c r="J19" i="3" s="1"/>
  <c r="F19" i="3"/>
  <c r="K18" i="3"/>
  <c r="I18" i="3"/>
  <c r="J18" i="3" s="1"/>
  <c r="F18" i="3"/>
  <c r="L17" i="3"/>
  <c r="M17" i="3" s="1"/>
  <c r="K17" i="3"/>
  <c r="I17" i="3"/>
  <c r="J17" i="3" s="1"/>
  <c r="F17" i="3"/>
  <c r="K16" i="3"/>
  <c r="I16" i="3"/>
  <c r="J16" i="3" s="1"/>
  <c r="F16" i="3"/>
  <c r="A16" i="3"/>
  <c r="A17" i="3" s="1"/>
  <c r="A18" i="3" s="1"/>
  <c r="A19" i="3" s="1"/>
  <c r="A20" i="3" s="1"/>
  <c r="A21" i="3" s="1"/>
  <c r="A22" i="3" s="1"/>
  <c r="A23" i="3" s="1"/>
  <c r="A24" i="3" s="1"/>
  <c r="A25" i="3" s="1"/>
  <c r="L15" i="3"/>
  <c r="L25" i="3" s="1"/>
  <c r="K15" i="3"/>
  <c r="I15" i="3"/>
  <c r="J15" i="3" s="1"/>
  <c r="F15" i="3"/>
  <c r="F25" i="3" s="1"/>
  <c r="A15" i="3"/>
  <c r="K13" i="3"/>
  <c r="A13" i="3"/>
  <c r="L12" i="3"/>
  <c r="M12" i="3" s="1"/>
  <c r="K12" i="3"/>
  <c r="I12" i="3"/>
  <c r="J12" i="3" s="1"/>
  <c r="F12" i="3"/>
  <c r="F13" i="3" s="1"/>
  <c r="A12" i="3"/>
  <c r="H100" i="3" l="1"/>
  <c r="M36" i="3"/>
  <c r="F51" i="3"/>
  <c r="L13" i="3"/>
  <c r="M13" i="3" s="1"/>
  <c r="M15" i="3"/>
  <c r="M25" i="3" s="1"/>
  <c r="L29" i="3"/>
  <c r="L51" i="3" s="1"/>
  <c r="M31" i="3"/>
  <c r="M45" i="3"/>
  <c r="J100" i="3" l="1"/>
  <c r="M51" i="3"/>
  <c r="L100" i="3"/>
  <c r="H108" i="3"/>
  <c r="H106" i="3"/>
  <c r="H104" i="3"/>
  <c r="H109" i="3"/>
  <c r="H107" i="3"/>
  <c r="H103" i="3"/>
  <c r="F109" i="3"/>
  <c r="F107" i="3"/>
  <c r="F100" i="3"/>
  <c r="F111" i="3"/>
  <c r="F110" i="3"/>
  <c r="F108" i="3"/>
  <c r="F106" i="3"/>
  <c r="F104" i="3"/>
  <c r="F105" i="3" s="1"/>
  <c r="F103" i="3"/>
  <c r="H114" i="3" l="1"/>
  <c r="H116" i="3" s="1"/>
  <c r="H105" i="3"/>
  <c r="F114" i="3"/>
  <c r="J109" i="3"/>
  <c r="L109" i="3" s="1"/>
  <c r="J108" i="3"/>
  <c r="L108" i="3" s="1"/>
  <c r="J107" i="3"/>
  <c r="L107" i="3" s="1"/>
  <c r="J106" i="3"/>
  <c r="L106" i="3" s="1"/>
  <c r="J104" i="3"/>
  <c r="J105" i="3" s="1"/>
  <c r="J103" i="3"/>
  <c r="H118" i="3" l="1"/>
  <c r="H120" i="3"/>
  <c r="L105" i="3"/>
  <c r="L104" i="3"/>
  <c r="J114" i="3"/>
  <c r="J116" i="3" s="1"/>
  <c r="L103" i="3"/>
  <c r="L114" i="3" l="1"/>
  <c r="L116" i="3" s="1"/>
  <c r="J118" i="3"/>
  <c r="L118" i="3" s="1"/>
  <c r="J120" i="3" l="1"/>
  <c r="N121" i="3" l="1"/>
  <c r="L120" i="3"/>
  <c r="J103" i="2" l="1"/>
  <c r="L103" i="2" s="1"/>
  <c r="K70" i="2"/>
  <c r="H70" i="2"/>
  <c r="I70" i="2" s="1"/>
  <c r="J70" i="2" s="1"/>
  <c r="F70" i="2"/>
  <c r="K69" i="2"/>
  <c r="H69" i="2"/>
  <c r="I69" i="2" s="1"/>
  <c r="J69" i="2" s="1"/>
  <c r="F69" i="2"/>
  <c r="K68" i="2"/>
  <c r="H68" i="2"/>
  <c r="L68" i="2" s="1"/>
  <c r="F68" i="2"/>
  <c r="K67" i="2"/>
  <c r="M67" i="2" s="1"/>
  <c r="H67" i="2"/>
  <c r="L67" i="2" s="1"/>
  <c r="F67" i="2"/>
  <c r="K66" i="2"/>
  <c r="H66" i="2"/>
  <c r="L66" i="2" s="1"/>
  <c r="F66" i="2"/>
  <c r="A66" i="2"/>
  <c r="A67" i="2" s="1"/>
  <c r="A68" i="2" s="1"/>
  <c r="A69" i="2" s="1"/>
  <c r="A70" i="2" s="1"/>
  <c r="K64" i="2"/>
  <c r="L63" i="2"/>
  <c r="L64" i="2" s="1"/>
  <c r="K63" i="2"/>
  <c r="M63" i="2" s="1"/>
  <c r="J63" i="2"/>
  <c r="I63" i="2"/>
  <c r="F63" i="2"/>
  <c r="F64" i="2" s="1"/>
  <c r="A63" i="2"/>
  <c r="H57" i="2"/>
  <c r="F57" i="2"/>
  <c r="L56" i="2"/>
  <c r="M56" i="2" s="1"/>
  <c r="H56" i="2"/>
  <c r="I56" i="2" s="1"/>
  <c r="J56" i="2" s="1"/>
  <c r="F56" i="2"/>
  <c r="L55" i="2"/>
  <c r="M55" i="2" s="1"/>
  <c r="J55" i="2"/>
  <c r="I55" i="2"/>
  <c r="H55" i="2"/>
  <c r="F55" i="2"/>
  <c r="A55" i="2"/>
  <c r="A56" i="2" s="1"/>
  <c r="A57" i="2" s="1"/>
  <c r="I54" i="2"/>
  <c r="J54" i="2" s="1"/>
  <c r="H54" i="2"/>
  <c r="L54" i="2" s="1"/>
  <c r="M54" i="2" s="1"/>
  <c r="F54" i="2"/>
  <c r="A54" i="2"/>
  <c r="H53" i="2"/>
  <c r="F53" i="2"/>
  <c r="A53" i="2"/>
  <c r="L51" i="2"/>
  <c r="M51" i="2" s="1"/>
  <c r="L50" i="2"/>
  <c r="M50" i="2" s="1"/>
  <c r="J50" i="2"/>
  <c r="I50" i="2"/>
  <c r="H50" i="2"/>
  <c r="F50" i="2"/>
  <c r="F51" i="2" s="1"/>
  <c r="A50" i="2"/>
  <c r="K48" i="2"/>
  <c r="F47" i="2"/>
  <c r="K46" i="2"/>
  <c r="H46" i="2"/>
  <c r="I46" i="2" s="1"/>
  <c r="J46" i="2" s="1"/>
  <c r="F46" i="2"/>
  <c r="L45" i="2"/>
  <c r="K45" i="2"/>
  <c r="I45" i="2"/>
  <c r="J45" i="2" s="1"/>
  <c r="F45" i="2"/>
  <c r="F48" i="2" s="1"/>
  <c r="A45" i="2"/>
  <c r="A46" i="2" s="1"/>
  <c r="A47" i="2" s="1"/>
  <c r="I42" i="2"/>
  <c r="J42" i="2" s="1"/>
  <c r="G42" i="2"/>
  <c r="K42" i="2" s="1"/>
  <c r="M42" i="2" s="1"/>
  <c r="F42" i="2"/>
  <c r="G41" i="2"/>
  <c r="F41" i="2"/>
  <c r="K40" i="2"/>
  <c r="M40" i="2" s="1"/>
  <c r="G40" i="2"/>
  <c r="I40" i="2" s="1"/>
  <c r="J40" i="2" s="1"/>
  <c r="F40" i="2"/>
  <c r="F43" i="2" s="1"/>
  <c r="K39" i="2"/>
  <c r="M39" i="2" s="1"/>
  <c r="J39" i="2"/>
  <c r="I39" i="2"/>
  <c r="G39" i="2"/>
  <c r="F39" i="2"/>
  <c r="A39" i="2"/>
  <c r="A40" i="2" s="1"/>
  <c r="A41" i="2" s="1"/>
  <c r="A42" i="2" s="1"/>
  <c r="I38" i="2"/>
  <c r="J38" i="2" s="1"/>
  <c r="G38" i="2"/>
  <c r="K38" i="2" s="1"/>
  <c r="F38" i="2"/>
  <c r="A38" i="2"/>
  <c r="L35" i="2"/>
  <c r="M35" i="2" s="1"/>
  <c r="H35" i="2"/>
  <c r="I35" i="2" s="1"/>
  <c r="J35" i="2" s="1"/>
  <c r="F35" i="2"/>
  <c r="L34" i="2"/>
  <c r="M34" i="2" s="1"/>
  <c r="J34" i="2"/>
  <c r="I34" i="2"/>
  <c r="H34" i="2"/>
  <c r="F34" i="2"/>
  <c r="A34" i="2"/>
  <c r="A35" i="2" s="1"/>
  <c r="I33" i="2"/>
  <c r="J33" i="2" s="1"/>
  <c r="H33" i="2"/>
  <c r="L33" i="2" s="1"/>
  <c r="F33" i="2"/>
  <c r="F36" i="2" s="1"/>
  <c r="A33" i="2"/>
  <c r="M30" i="2"/>
  <c r="L30" i="2"/>
  <c r="I30" i="2"/>
  <c r="J30" i="2" s="1"/>
  <c r="F30" i="2"/>
  <c r="L29" i="2"/>
  <c r="M29" i="2" s="1"/>
  <c r="J29" i="2"/>
  <c r="I29" i="2"/>
  <c r="F29" i="2"/>
  <c r="M28" i="2"/>
  <c r="L28" i="2"/>
  <c r="I28" i="2"/>
  <c r="J28" i="2" s="1"/>
  <c r="F28" i="2"/>
  <c r="K27" i="2"/>
  <c r="H27" i="2"/>
  <c r="L27" i="2" s="1"/>
  <c r="F27" i="2"/>
  <c r="K26" i="2"/>
  <c r="H26" i="2"/>
  <c r="I26" i="2" s="1"/>
  <c r="J26" i="2" s="1"/>
  <c r="F26" i="2"/>
  <c r="K25" i="2"/>
  <c r="H25" i="2"/>
  <c r="I25" i="2" s="1"/>
  <c r="J25" i="2" s="1"/>
  <c r="F25" i="2"/>
  <c r="L24" i="2"/>
  <c r="M24" i="2" s="1"/>
  <c r="H24" i="2"/>
  <c r="I24" i="2" s="1"/>
  <c r="J24" i="2" s="1"/>
  <c r="F24" i="2"/>
  <c r="L23" i="2"/>
  <c r="K23" i="2"/>
  <c r="M23" i="2" s="1"/>
  <c r="J23" i="2"/>
  <c r="I23" i="2"/>
  <c r="F23" i="2"/>
  <c r="M22" i="2"/>
  <c r="L22" i="2"/>
  <c r="K22" i="2"/>
  <c r="J22" i="2"/>
  <c r="I22" i="2"/>
  <c r="F22" i="2"/>
  <c r="L21" i="2"/>
  <c r="K21" i="2"/>
  <c r="I21" i="2"/>
  <c r="J21" i="2" s="1"/>
  <c r="F21" i="2"/>
  <c r="A21" i="2"/>
  <c r="A22" i="2" s="1"/>
  <c r="A23" i="2" s="1"/>
  <c r="A24" i="2" s="1"/>
  <c r="A25" i="2" s="1"/>
  <c r="A26" i="2" s="1"/>
  <c r="A27" i="2" s="1"/>
  <c r="A28" i="2" s="1"/>
  <c r="A29" i="2" s="1"/>
  <c r="A30" i="2" s="1"/>
  <c r="F18" i="2"/>
  <c r="F17" i="2"/>
  <c r="F16" i="2"/>
  <c r="F15" i="2"/>
  <c r="F14" i="2"/>
  <c r="A14" i="2"/>
  <c r="A15" i="2" s="1"/>
  <c r="A16" i="2" s="1"/>
  <c r="A17" i="2" s="1"/>
  <c r="A18" i="2" s="1"/>
  <c r="F12" i="2"/>
  <c r="L11" i="2"/>
  <c r="L12" i="2" s="1"/>
  <c r="K11" i="2"/>
  <c r="M11" i="2" s="1"/>
  <c r="J11" i="2"/>
  <c r="I11" i="2"/>
  <c r="F11" i="2"/>
  <c r="A11" i="2"/>
  <c r="L53" i="2" l="1"/>
  <c r="I53" i="2"/>
  <c r="J53" i="2" s="1"/>
  <c r="L57" i="2"/>
  <c r="M57" i="2" s="1"/>
  <c r="I57" i="2"/>
  <c r="J57" i="2" s="1"/>
  <c r="F19" i="2"/>
  <c r="F31" i="2"/>
  <c r="M21" i="2"/>
  <c r="M25" i="2"/>
  <c r="M38" i="2"/>
  <c r="K41" i="2"/>
  <c r="M41" i="2" s="1"/>
  <c r="I41" i="2"/>
  <c r="J41" i="2" s="1"/>
  <c r="M64" i="2"/>
  <c r="M66" i="2"/>
  <c r="M69" i="2"/>
  <c r="K71" i="2"/>
  <c r="K12" i="2"/>
  <c r="M12" i="2" s="1"/>
  <c r="K31" i="2"/>
  <c r="M27" i="2"/>
  <c r="L36" i="2"/>
  <c r="M36" i="2" s="1"/>
  <c r="M33" i="2"/>
  <c r="M45" i="2"/>
  <c r="L48" i="2"/>
  <c r="M48" i="2" s="1"/>
  <c r="L46" i="2"/>
  <c r="M46" i="2" s="1"/>
  <c r="F58" i="2"/>
  <c r="F59" i="2" s="1"/>
  <c r="E84" i="2" s="1"/>
  <c r="F71" i="2"/>
  <c r="M68" i="2"/>
  <c r="L25" i="2"/>
  <c r="L31" i="2" s="1"/>
  <c r="L26" i="2"/>
  <c r="M26" i="2" s="1"/>
  <c r="L69" i="2"/>
  <c r="L71" i="2" s="1"/>
  <c r="L70" i="2"/>
  <c r="M70" i="2" s="1"/>
  <c r="I27" i="2"/>
  <c r="J27" i="2" s="1"/>
  <c r="I66" i="2"/>
  <c r="J66" i="2" s="1"/>
  <c r="I67" i="2"/>
  <c r="J67" i="2" s="1"/>
  <c r="I68" i="2"/>
  <c r="J68" i="2" s="1"/>
  <c r="M31" i="2" l="1"/>
  <c r="L58" i="2"/>
  <c r="M53" i="2"/>
  <c r="E94" i="2"/>
  <c r="E93" i="2"/>
  <c r="E92" i="2"/>
  <c r="E91" i="2"/>
  <c r="E89" i="2"/>
  <c r="E90" i="2" s="1"/>
  <c r="E88" i="2"/>
  <c r="M71" i="2"/>
  <c r="K43" i="2"/>
  <c r="M43" i="2" l="1"/>
  <c r="K59" i="2"/>
  <c r="E96" i="2"/>
  <c r="E99" i="2" s="1"/>
  <c r="M58" i="2"/>
  <c r="L59" i="2"/>
  <c r="L72" i="2" s="1"/>
  <c r="J84" i="2" s="1"/>
  <c r="K72" i="2" l="1"/>
  <c r="M59" i="2"/>
  <c r="J94" i="2"/>
  <c r="J93" i="2"/>
  <c r="J89" i="2"/>
  <c r="J92" i="2"/>
  <c r="J88" i="2"/>
  <c r="J91" i="2"/>
  <c r="J90" i="2" l="1"/>
  <c r="J96" i="2" s="1"/>
  <c r="J99" i="2" s="1"/>
  <c r="J106" i="2" s="1"/>
  <c r="O106" i="2" s="1"/>
  <c r="H84" i="2"/>
  <c r="M72" i="2"/>
  <c r="H94" i="2" l="1"/>
  <c r="L94" i="2" s="1"/>
  <c r="H93" i="2"/>
  <c r="L93" i="2" s="1"/>
  <c r="H92" i="2"/>
  <c r="L92" i="2" s="1"/>
  <c r="H91" i="2"/>
  <c r="L91" i="2" s="1"/>
  <c r="H89" i="2"/>
  <c r="H88" i="2"/>
  <c r="L84" i="2"/>
  <c r="L88" i="2" l="1"/>
  <c r="H90" i="2"/>
  <c r="L90" i="2" s="1"/>
  <c r="L89" i="2"/>
  <c r="L96" i="2" l="1"/>
  <c r="H96" i="2"/>
  <c r="H99" i="2" s="1"/>
  <c r="L99" i="2" l="1"/>
  <c r="H106" i="2"/>
  <c r="L106" i="2" s="1"/>
  <c r="M142" i="1" l="1"/>
  <c r="M141" i="1"/>
  <c r="F122" i="1"/>
  <c r="F121" i="1"/>
  <c r="F119" i="1"/>
  <c r="F118" i="1"/>
  <c r="F116" i="1"/>
  <c r="F115" i="1"/>
  <c r="F111" i="1"/>
  <c r="F110" i="1"/>
  <c r="F109" i="1"/>
  <c r="F108" i="1"/>
  <c r="F112" i="1" s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1" i="1"/>
  <c r="F90" i="1"/>
  <c r="F89" i="1"/>
  <c r="F88" i="1"/>
  <c r="F87" i="1"/>
  <c r="F86" i="1"/>
  <c r="F106" i="1" s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84" i="1" s="1"/>
  <c r="F66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64" i="1" s="1"/>
  <c r="F41" i="1"/>
  <c r="F40" i="1"/>
  <c r="F39" i="1"/>
  <c r="F38" i="1"/>
  <c r="F37" i="1"/>
  <c r="F36" i="1"/>
  <c r="F35" i="1"/>
  <c r="F34" i="1"/>
  <c r="F33" i="1"/>
  <c r="F42" i="1" s="1"/>
  <c r="F32" i="1"/>
  <c r="F31" i="1"/>
  <c r="F28" i="1"/>
  <c r="F29" i="1" s="1"/>
  <c r="F27" i="1"/>
  <c r="F26" i="1"/>
  <c r="L24" i="1"/>
  <c r="L23" i="1"/>
  <c r="M23" i="1" s="1"/>
  <c r="J23" i="1"/>
  <c r="I23" i="1"/>
  <c r="F23" i="1"/>
  <c r="F22" i="1"/>
  <c r="F24" i="1" s="1"/>
  <c r="L19" i="1"/>
  <c r="M19" i="1" s="1"/>
  <c r="H19" i="1"/>
  <c r="I19" i="1" s="1"/>
  <c r="J19" i="1" s="1"/>
  <c r="F19" i="1"/>
  <c r="I18" i="1"/>
  <c r="J18" i="1" s="1"/>
  <c r="H18" i="1"/>
  <c r="L18" i="1" s="1"/>
  <c r="M18" i="1" s="1"/>
  <c r="F18" i="1"/>
  <c r="L17" i="1"/>
  <c r="M17" i="1" s="1"/>
  <c r="H17" i="1"/>
  <c r="I17" i="1" s="1"/>
  <c r="J17" i="1" s="1"/>
  <c r="F17" i="1"/>
  <c r="I16" i="1"/>
  <c r="J16" i="1" s="1"/>
  <c r="H16" i="1"/>
  <c r="L16" i="1" s="1"/>
  <c r="F16" i="1"/>
  <c r="F20" i="1" s="1"/>
  <c r="F13" i="1"/>
  <c r="L12" i="1"/>
  <c r="L13" i="1" s="1"/>
  <c r="M13" i="1" s="1"/>
  <c r="J12" i="1"/>
  <c r="I12" i="1"/>
  <c r="F12" i="1"/>
  <c r="F14" i="1" s="1"/>
  <c r="F123" i="1" l="1"/>
  <c r="L20" i="1"/>
  <c r="M20" i="1" s="1"/>
  <c r="M16" i="1"/>
  <c r="L123" i="1"/>
  <c r="M12" i="1"/>
  <c r="M24" i="1"/>
  <c r="J148" i="1" l="1"/>
  <c r="M123" i="1"/>
  <c r="E154" i="1"/>
  <c r="E148" i="1"/>
  <c r="E155" i="1"/>
  <c r="E151" i="1"/>
  <c r="E156" i="1"/>
  <c r="E152" i="1"/>
  <c r="E153" i="1" s="1"/>
  <c r="E157" i="1"/>
  <c r="E159" i="1" l="1"/>
  <c r="J155" i="1"/>
  <c r="L155" i="1" s="1"/>
  <c r="J151" i="1"/>
  <c r="J156" i="1"/>
  <c r="L156" i="1" s="1"/>
  <c r="J152" i="1"/>
  <c r="J157" i="1"/>
  <c r="L157" i="1" s="1"/>
  <c r="L148" i="1"/>
  <c r="J154" i="1"/>
  <c r="L154" i="1" s="1"/>
  <c r="L151" i="1" l="1"/>
  <c r="L152" i="1"/>
  <c r="J153" i="1"/>
  <c r="L153" i="1" s="1"/>
  <c r="J159" i="1" l="1"/>
  <c r="L159" i="1" l="1"/>
  <c r="J163" i="1"/>
  <c r="L163" i="1" l="1"/>
  <c r="J165" i="1"/>
  <c r="L165" i="1" s="1"/>
  <c r="J168" i="1" l="1"/>
  <c r="L168" i="1" s="1"/>
</calcChain>
</file>

<file path=xl/sharedStrings.xml><?xml version="1.0" encoding="utf-8"?>
<sst xmlns="http://schemas.openxmlformats.org/spreadsheetml/2006/main" count="2153" uniqueCount="750">
  <si>
    <t>CORPORACION DE ACUEDUCTOS Y ALCANTARILLADOS DE PUERTO PLATA</t>
  </si>
  <si>
    <t>"CORAAPPLATA"</t>
  </si>
  <si>
    <t>Pág. 01/03</t>
  </si>
  <si>
    <t>OBRAS:</t>
  </si>
  <si>
    <t>CONSTRUCCION ACUEDUCTO PALMAR GRANDE, ALTAMIRA, PROVINCIA PUERTO PLATA"</t>
  </si>
  <si>
    <t>MONTO  CONTRATADO:</t>
  </si>
  <si>
    <t>RD$14,514,918.38</t>
  </si>
  <si>
    <t>CUBICACION NO.:</t>
  </si>
  <si>
    <t>MONTO AVANCE:</t>
  </si>
  <si>
    <t>FECHA DE REALIZACION:</t>
  </si>
  <si>
    <t>ABRIL 01, 2024</t>
  </si>
  <si>
    <t>NO. CONTRATO:</t>
  </si>
  <si>
    <t>002/2023</t>
  </si>
  <si>
    <t>CONTRATISTA:</t>
  </si>
  <si>
    <t>ING. PEDRO LEANDRO ALMONTE SANDOVAL</t>
  </si>
  <si>
    <t xml:space="preserve">  </t>
  </si>
  <si>
    <t>CANTIDADES</t>
  </si>
  <si>
    <t>COSTOS RD$</t>
  </si>
  <si>
    <t>CODIGO</t>
  </si>
  <si>
    <t>DESCRIPCION</t>
  </si>
  <si>
    <t>UND.</t>
  </si>
  <si>
    <t>PRESUPUESTO</t>
  </si>
  <si>
    <t>P. U. RD$</t>
  </si>
  <si>
    <t>TOTAL</t>
  </si>
  <si>
    <t>ANTERIOR</t>
  </si>
  <si>
    <t>PRESENTE</t>
  </si>
  <si>
    <t>ACUMULADO</t>
  </si>
  <si>
    <t>%</t>
  </si>
  <si>
    <t xml:space="preserve">PRELIMINARES </t>
  </si>
  <si>
    <t>REPLANTEO (CON TOPOGRAFO)</t>
  </si>
  <si>
    <t>ML</t>
  </si>
  <si>
    <t xml:space="preserve">LIMPIEZA GENERAL Y CONTINUA </t>
  </si>
  <si>
    <t>PA</t>
  </si>
  <si>
    <t>SUBTOTAL</t>
  </si>
  <si>
    <t>MOVIMIENTO DE TIERRA:</t>
  </si>
  <si>
    <t>EXCAVACION CON EQUIPO</t>
  </si>
  <si>
    <t>M3</t>
  </si>
  <si>
    <t>ASIENTO DE ARENA</t>
  </si>
  <si>
    <t>REGADO, NIVELAO Y COMPACTADO DE RELLENO</t>
  </si>
  <si>
    <t xml:space="preserve">BOTE DE MATERIAL </t>
  </si>
  <si>
    <t>SUMINISTRO Y COLOCACION DE:</t>
  </si>
  <si>
    <t>TUBERIA LINEA DE IMPULSION  DE 6" PVC SDR-21 C/J DE GOMA +5% P/CAMPANA</t>
  </si>
  <si>
    <t>TUBERIA LINEA DE IMPULSION  DE 3" PVC SDR-21 C/J DE GOMA +5% P/CAMPANA</t>
  </si>
  <si>
    <t>SUMINISTRO E INSTALACION DE PIEZAS ESPECIALES</t>
  </si>
  <si>
    <t>VENTOSA DE 1" PN-8 INSTALACION COMPLETA (INCLUYE CARRETE, LLAVE DE PASO, NIPLE)</t>
  </si>
  <si>
    <t>UD</t>
  </si>
  <si>
    <t>REGISTROS PARA VENTOSA DE 1X1X1 MT (CON DESAGUE Y RESPIRADERO)</t>
  </si>
  <si>
    <t>DESAGUE DE 2" VALVULA DE BOLA (INCLUYE CARRETE, LLAVE DE PASO, NIPLE)</t>
  </si>
  <si>
    <t>CONSTRUCCION CARCAMO DE BOMBEO (9MX2.5MX2.5M)</t>
  </si>
  <si>
    <t>EXCAVACION CON EQUIPO 9M X 2.50MX 2.50M</t>
  </si>
  <si>
    <t>BOTE DE MATERIAL</t>
  </si>
  <si>
    <t>SUMINISTRO E INSTALACION DE TUBERIA H.S DE 48"X 1 ML DE PROFUNDIDAD BAJO NIVEL DE PISO 8.5 MTS (8 ALCANTARILLAS DE 1 ML)</t>
  </si>
  <si>
    <t>LOSA HA E=0.20 M 3/8@0.25M AD HORMIGON INDUSTRIAL 210 KG/CM2</t>
  </si>
  <si>
    <t>USO DE GRUA</t>
  </si>
  <si>
    <t>HR</t>
  </si>
  <si>
    <t>ESCALERA METALICA</t>
  </si>
  <si>
    <t xml:space="preserve">RECUBRIMIENTO DE TUBO EN HORMIGON </t>
  </si>
  <si>
    <t>LOSA DE PLATAFORMA NIVEL DE PISO PARA PROTECCION DE TUBERIA DE CALCAMO HA= 0.15M 3/8@ 0.25M AD HORMIGON INDUSTRIAL 210 KG/CM2</t>
  </si>
  <si>
    <t>M2</t>
  </si>
  <si>
    <t>CONSTRUCCION DE CASETA SOPORTE DE PANEL BOMBEO</t>
  </si>
  <si>
    <t>SUMINITRO Y COLOCACION MANOMETRO SUMERGIDO EN GLICERMA</t>
  </si>
  <si>
    <t>SUM. E INST DE CARRETE CON SU VALVULA DE COMPUERTA DE 4" COMPLETA</t>
  </si>
  <si>
    <t>UDS</t>
  </si>
  <si>
    <t>CONSTRUCCION DE CASETA DE CLORACION (2MX 2M X 2.8M)</t>
  </si>
  <si>
    <t xml:space="preserve">EXCAVACION A MANO 2.15 M X 2.30 M X 0.80M </t>
  </si>
  <si>
    <t>ZAPATAS MUROS 6" 0.45M X 0.25M HORMIGON 1:2:4 CON LIGADORA</t>
  </si>
  <si>
    <t>BLOQUES HORMIGON DE 6"-3/8 @0.80M</t>
  </si>
  <si>
    <t>LOSA HAE=0.13 M 3/8@0.25M AD 210KG/CM2 TABLA CEMEX CON LIGADORA Y WINCHE</t>
  </si>
  <si>
    <t>COLUMNA DE AMARRE 15X15 4 F 3/8-3/8 @0.20M TAPA Y TAPA 1:2:4 LIGADO A MANO</t>
  </si>
  <si>
    <t>VIGA DE AMARRE 15X20 4 F 3/8- 3/8 @0.20M 1:2:4 LIGADO A MANO</t>
  </si>
  <si>
    <t>DINTEL 15X20 3 F 1/2 Y 2 F 3/8 @0.20M 1:2:4 A MANO</t>
  </si>
  <si>
    <t>EMPAÑETE MAESTREADO-INTERIOR</t>
  </si>
  <si>
    <t>EMPAÑETE MAESTREADO-EXTERIOR</t>
  </si>
  <si>
    <t>CANTOS</t>
  </si>
  <si>
    <t>MOCHETAS EN MUROS DE 0.15M</t>
  </si>
  <si>
    <t>FRAGUACHE CON LLANA INT/EXT</t>
  </si>
  <si>
    <t>PINTURA ACRILICA SUPERO INT/EXT</t>
  </si>
  <si>
    <t>LUZ CENITAL</t>
  </si>
  <si>
    <t>UND</t>
  </si>
  <si>
    <t>INTERRUPTOR SENCILLO</t>
  </si>
  <si>
    <t>PUERTA POLIMETALICA 0.70-0.90 X 2.10 M</t>
  </si>
  <si>
    <t>MORTERO 1:10 PARA PISOS</t>
  </si>
  <si>
    <t>SISTEMA DE CLORACION POR SOLUCION, CON CAPACIDAD DE DOSIFICACION DE 0 A 15 LIBRAS POR DIA, INCLUYE 1 DOSFICADOR DE CLORO GAS POR VACIO MODEL 500 CON VALVULA DE DOSIFICACION, 1 EYECTOR MODELO EJ1000 Y PAQUETE DE ACCESORIO (BOTELLA PAR AMONIACO, MANUAL, FILTRO PARA VENTILACION, TUBERIA PARA VENTILACION, ARANDELAS Y MATERIAL FILTRANTE</t>
  </si>
  <si>
    <t>ELECTROBOMBA CENTRIFUGA VERTICAL NO AUTOCEBANTE CON IMPULSORES Y CAMARAS INTERMEDIAS EN ACERO INOXIDABLE, CON CAPACIDAD PARA BOMBEAR 30 GPM CONTRA 190 FT ED TDH, ACOPLADA A MOTRO ELECTRICO DE 3 HP/208 230-460 V/ 3 PH/ 60 HZ, SUCCION Y DESCARGA BRIDADA EN 1 1/4 PULGADAS ANSI 300 LB, MOTOR SELLADO Y CARCAZA EN ACERO INOXIDABLE</t>
  </si>
  <si>
    <t>OBRA DE TOMA TIPO CAJUELA 3mx 1.5mx1.6m</t>
  </si>
  <si>
    <t>EXCAVACION CON EQUIPO DIMENSION 3MX1.5MX1.6M</t>
  </si>
  <si>
    <t>REGADO, NIVELADO Y COMPACTADO DE RELLENO</t>
  </si>
  <si>
    <t>LIMPIEZA DEL TERRENO</t>
  </si>
  <si>
    <t>PLATEA HA E=0.30M 3/8@0.25M DOBLE CAMDA EN A.D FROTADO- HORMIGON INDUSTRIAL 210 KG/CM2</t>
  </si>
  <si>
    <t>MUROS E=0.20M FC= 210KG/CM2 EN FORMALETAS ACERO-MADERA PROPIOS MALLA D2.9</t>
  </si>
  <si>
    <t xml:space="preserve">FRAGUACHE </t>
  </si>
  <si>
    <t>EMPAÑETE LISO EN OBRA DE TOMA TIPO CAJUELA</t>
  </si>
  <si>
    <t>SUMINISTRO E INSTALACION DE TAPA METALICA</t>
  </si>
  <si>
    <t>DESVIO DEL RIO CON ATAGUIAS</t>
  </si>
  <si>
    <t>TUBERIA 6" ACERO (CONEXIÓN OBRA DE TOMA- CARCAMO DE BOMBEO)</t>
  </si>
  <si>
    <t>TUBERIA 8" ACERO ( PARA FLUJO)</t>
  </si>
  <si>
    <t>TUBERIA 6" ACERO (PARA LIMPIEZA)</t>
  </si>
  <si>
    <t>SUMINISTRO E INSTALACION DE COMPUERTA 6" P/SALIDA DE LA OBRA DE TOMA</t>
  </si>
  <si>
    <t>SUMINISTRO Y COLOCACION VALVLAS DE COMPUERTA DIAM 6 COMPLETA( VASTAGO FIJO, ASIENTO RESILENTE, JUNTAS DRESSER CRIOLLA, NIPLE DE 6", ANCLAJE EN H.S, JUNTAS DE GOMA Y SUS TORNILLOS)</t>
  </si>
  <si>
    <t>CAMARA DE LIMPIEZA</t>
  </si>
  <si>
    <t>TANQUE DE ALMACENAMIENTO DE 100 M3 (6.37MX6.07X3M)</t>
  </si>
  <si>
    <t>EXCAVACION CON EQUIPO 5.77MX5.77MX0.80M</t>
  </si>
  <si>
    <t>RELLENO DE REPOSICION COMPACTADO</t>
  </si>
  <si>
    <t>BOTE DE MATERIAL EXCAVADO</t>
  </si>
  <si>
    <t>LIMPIEZA BASE CISTERNA POR DERRUMBES SUELO</t>
  </si>
  <si>
    <t>HORMIGON ARMADO EN FONDO H=0.30M, (HORMIGON 240 KG/CM2)</t>
  </si>
  <si>
    <t>HORMIGON ARMADO EN PAREDES ANCHO=0.30M, ( HORMIGON 240 KG/CM2)</t>
  </si>
  <si>
    <t>HORMIGON ARMADO EN LOSA H=0.15M ( HORMIGON 240KG/CM2)</t>
  </si>
  <si>
    <t>FRAGUACHE</t>
  </si>
  <si>
    <t>PAÑETE INTERIOR Y EXTERIOR PULIDO</t>
  </si>
  <si>
    <t>CINTA WATER STOP DE 9"</t>
  </si>
  <si>
    <t>PINTURA EN CISTERNA</t>
  </si>
  <si>
    <t xml:space="preserve">ESCALERA </t>
  </si>
  <si>
    <t>PINTURA EXTERIOR</t>
  </si>
  <si>
    <t>TUBERIA 6" ACERO</t>
  </si>
  <si>
    <t>SUMINISTRO Y COLOCACION VALVULAS DE COMPUERTA DIAM 6 COMPLETA ( VASTAGO FIJO, ASIENTO RESILENTE, JUNTAS DRESSER CRIOLLA, NIPLE DE 6", ANCLAJE EN H.S, JUNTA DE GOMA Y SUS TORNILLOS)</t>
  </si>
  <si>
    <t>CHEQUE HORIZONTAL DIAM 8 PLATILLADO COMPLETO (PN10, ASIENTO EN BRONCE, NIPLES PLATILLADOS, JUNTAS DE GOMA YSUS TORNILLOS)</t>
  </si>
  <si>
    <t>TUBO DE VENTILACION</t>
  </si>
  <si>
    <t>CONO DE REBOSE</t>
  </si>
  <si>
    <t>CODO DE 6X 90 ACERO</t>
  </si>
  <si>
    <t>EXTERIOR DEL TANQUE</t>
  </si>
  <si>
    <t>ACERA PERIMETRAL</t>
  </si>
  <si>
    <t>GRAVA DE EMBELLECIMIENTO</t>
  </si>
  <si>
    <t>VERJAS MALLA ICLONICA 6 PIES + ALAMBRE TRINCHERA</t>
  </si>
  <si>
    <t>PORTON DE MALLA CICLONICA L=4ML</t>
  </si>
  <si>
    <t>B)</t>
  </si>
  <si>
    <t>ELECTROMECANICO</t>
  </si>
  <si>
    <t>INSTALACION MECANICA</t>
  </si>
  <si>
    <t>ELECTROBOMBA TURBINA VERTICAL CON TODOS LOS ACCESORIOS DE INSTALACION</t>
  </si>
  <si>
    <t>INSTALACION ELECTROMECANICA</t>
  </si>
  <si>
    <t>RED ELECTRICA TRIFASICA DE 30 ML</t>
  </si>
  <si>
    <t>TOTAL GENERAL DE PRESUPUESTO</t>
  </si>
  <si>
    <t>ING.PEDRO LEANDRO ALMONTE SANDOVAL</t>
  </si>
  <si>
    <t>GASTOS INDIRECTOS</t>
  </si>
  <si>
    <t>GASTOS ADMINISTRATIVOS</t>
  </si>
  <si>
    <t>HONORARIOS PROFESIONALES</t>
  </si>
  <si>
    <t>ITBIS A HONORARIOS PROFESIONALES</t>
  </si>
  <si>
    <t>SEGUROS, POLIZAS Y FIANZAS</t>
  </si>
  <si>
    <t>TRANSPORTE</t>
  </si>
  <si>
    <t>LEY 6/86</t>
  </si>
  <si>
    <t>CODIA</t>
  </si>
  <si>
    <t>SUB-TOTAL GASTOS INDIRECTOS</t>
  </si>
  <si>
    <t xml:space="preserve">TOTAL GENERAL </t>
  </si>
  <si>
    <t>SUB-TOTAL CUBICADO</t>
  </si>
  <si>
    <t>MENOS:</t>
  </si>
  <si>
    <t>AMORTIZACION DEL AVANCE</t>
  </si>
  <si>
    <t>TOTAL A PAGAR EN CUBICACION 01</t>
  </si>
  <si>
    <t>PREPARADO POR:</t>
  </si>
  <si>
    <t>REVISADO POR:</t>
  </si>
  <si>
    <t>APROBADO POR:</t>
  </si>
  <si>
    <t xml:space="preserve"> MARCOS JOEL GARCIA GARCIA</t>
  </si>
  <si>
    <t>JUAN RAMON MOORE CHECO</t>
  </si>
  <si>
    <t xml:space="preserve">                        PEDRO LEANDRO ALMONTE SANDOVAL</t>
  </si>
  <si>
    <t xml:space="preserve">                                                             OLIVER JOSE NAZARIO BRUGAL</t>
  </si>
  <si>
    <t>ANALISTA DEPTO. FISCALIZACION DE OBRAS</t>
  </si>
  <si>
    <t>ENC. DEPTO. FISCALIZACION DE OBRAS</t>
  </si>
  <si>
    <t xml:space="preserve">                           DIRECTOR GENERAL</t>
  </si>
  <si>
    <t>CONSTRUCCION DE COLECTOR DE AGUAS RESIDUALES EN LA CAÑADA DE VISTA BELLA</t>
  </si>
  <si>
    <t>MONTO ADENDA:</t>
  </si>
  <si>
    <t>RD$3,675,935.37</t>
  </si>
  <si>
    <t>Abril 01, 2024</t>
  </si>
  <si>
    <t xml:space="preserve"> </t>
  </si>
  <si>
    <t>006/2021</t>
  </si>
  <si>
    <t>KNORTH CONSTRUCTORA SRL</t>
  </si>
  <si>
    <t xml:space="preserve">                                      PARTIDAS PRESUPUESTO</t>
  </si>
  <si>
    <t>CANTIDAD</t>
  </si>
  <si>
    <t xml:space="preserve">RED DE ALCANTARILLADO </t>
  </si>
  <si>
    <t>REPLANTEO ( CON TOPOGRAFO)</t>
  </si>
  <si>
    <t>SUBTOTAL RED DE ALCANTARILLADO</t>
  </si>
  <si>
    <t>MOVIMIENTO DE TIERRA</t>
  </si>
  <si>
    <t>EXCAVACION NO CALIFICADA</t>
  </si>
  <si>
    <t xml:space="preserve">ASIENTO DE ARENA </t>
  </si>
  <si>
    <t>RELLENO COMPACTADO C/TOSCA O CALICHE P/SUST. MINA (60% DE EXCAVACION)</t>
  </si>
  <si>
    <t>RELLENO COMPACTADO DE REPOSICION (40% DE EXCAVACION)</t>
  </si>
  <si>
    <t>SUBTOTAL MOVIMIENTO DE TIERRA</t>
  </si>
  <si>
    <t xml:space="preserve">SUMINISTRO Y COLOCACION DE </t>
  </si>
  <si>
    <t>TUBERIA DE 8"X 20¨DE ACERO 3/8 ESP.</t>
  </si>
  <si>
    <t>TUBERIA DE 12"X 20¨DE ACERO 3/8 ESP.</t>
  </si>
  <si>
    <t>PINTURA EPOXICA TUBERIA DE 8 ACERO</t>
  </si>
  <si>
    <t>PINTURA EPOXICA TUBERIA DE 12 ACERO</t>
  </si>
  <si>
    <t>CONST. DE ANCLAJE EN LINEA COLECTORA C 15MTS</t>
  </si>
  <si>
    <t>CONST. DE ANCLAJE EN EMPALMES Y PIEZAS ESPECIALES</t>
  </si>
  <si>
    <t>CRUCE DE ALCANTARILLAS</t>
  </si>
  <si>
    <t>TAPON REGISTRO DE 4</t>
  </si>
  <si>
    <t>PINTURA OXIDO ROJO TUBERIA DE  12 ACERO</t>
  </si>
  <si>
    <t xml:space="preserve">PINTURA OXIDO ROJO PARA TUBERIA DE 8" </t>
  </si>
  <si>
    <t>SUBTOTAL SUMINISTRO Y COLOCACION</t>
  </si>
  <si>
    <t>CONFECCION DE REGISTROS 1@2 MTS:  UNIDADES</t>
  </si>
  <si>
    <t>REGISTRO PREFABRICADO A MANO</t>
  </si>
  <si>
    <t xml:space="preserve">REGISTROS EN HIERRO NEGRO DE 20"   </t>
  </si>
  <si>
    <t>REGISTRO FABRICADO A MANO</t>
  </si>
  <si>
    <t>SUBTOTAL CONFECCION DE REGISTRO</t>
  </si>
  <si>
    <t xml:space="preserve">EMPALME A RED PRINCIPAL DE SAN MARCOS </t>
  </si>
  <si>
    <t>PICADO DE CALLE, CONEXION A REGISTRO, ADECUACION Y REHABILITACION DE REGISTROS Y CALLE</t>
  </si>
  <si>
    <t>SUBTOTAL  EMPALME A RED PRINCIPAL</t>
  </si>
  <si>
    <t>ACOMETIDAS</t>
  </si>
  <si>
    <t>CONEXIÓN DE ACOMETIDAS</t>
  </si>
  <si>
    <t xml:space="preserve">TUBERIA LINEA RECOLECTORA </t>
  </si>
  <si>
    <t xml:space="preserve">TAPON 4 PVC PARA ACOMETIDAS </t>
  </si>
  <si>
    <t>SUBTOTAL ACOMETIDAS</t>
  </si>
  <si>
    <t>BADEN</t>
  </si>
  <si>
    <t xml:space="preserve">RECONSTRUCCION BADEN </t>
  </si>
  <si>
    <t>SUBTOTAL BADEN</t>
  </si>
  <si>
    <t xml:space="preserve">MISCELANEOS </t>
  </si>
  <si>
    <t>LIMPIEZA DE REGISTRO</t>
  </si>
  <si>
    <t xml:space="preserve">FUMIGACION EN CAÑADA </t>
  </si>
  <si>
    <t xml:space="preserve">REPARACION DE REGISTRO </t>
  </si>
  <si>
    <t>APROCHE EN MUROS DE BLOQUES 8</t>
  </si>
  <si>
    <t>COLOCACION HORMIGON EN CALLE 9</t>
  </si>
  <si>
    <t xml:space="preserve">SUBTOTAL MISCELANEOS </t>
  </si>
  <si>
    <t>SUB-TOTAL GENERAL</t>
  </si>
  <si>
    <t xml:space="preserve">MENOS </t>
  </si>
  <si>
    <t xml:space="preserve">ajuste de partidas pagadas y realizadas con volumenes inferior </t>
  </si>
  <si>
    <t>CONFECCION DE REGISTROS 1@2 MTS: 32 UNIDADES</t>
  </si>
  <si>
    <t xml:space="preserve">CONSTRUCCION DE COLECTOR DE AGUAS RESIDUALES EN LA CAÑADA DE VISTA BELLA
</t>
  </si>
  <si>
    <t>MAS:</t>
  </si>
  <si>
    <t>TOTAL A PAGAR EN CUBICACION 03 y Final</t>
  </si>
  <si>
    <t xml:space="preserve"> KELVIN FRANCISCO MENDOZA POLANCO</t>
  </si>
  <si>
    <t xml:space="preserve">      OLIVER JOSE NAZARIO BRUGAL</t>
  </si>
  <si>
    <t>DIRECTOR GENERAL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</si>
  <si>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</si>
  <si>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Pág. 01/02</t>
  </si>
  <si>
    <t>CONSTRUCCION DE COLECTOR DE AGUAS RESIDUALES EN LA CAÑADA DEL MIRADOR SUR</t>
  </si>
  <si>
    <t>Marzo 12, 2024</t>
  </si>
  <si>
    <t>005/2021</t>
  </si>
  <si>
    <t>CONSTRUCTORA DE LA CRUZ ROCHTTIS SRL</t>
  </si>
  <si>
    <t>EMPALME A RED PRINCIPAL DE LA MANOLO TAVAREZ JUSTO</t>
  </si>
  <si>
    <t>EMPALME A RED PRINCIPAL EN CALLE VISTA ALEGRE</t>
  </si>
  <si>
    <t xml:space="preserve">RELLENO COMPACTADO DE REPOSICION </t>
  </si>
  <si>
    <t>SUBTOTAL EMPALME A RED CALLE VISTA ALEGRE</t>
  </si>
  <si>
    <t xml:space="preserve">PARTIDA PAGADA EN LA CUBICACION 1 Y NO REALIZADA  </t>
  </si>
  <si>
    <t xml:space="preserve">SUB-TOTAL GENERAL GASTOS DIRECTOS </t>
  </si>
  <si>
    <t xml:space="preserve">SUPERVISION </t>
  </si>
  <si>
    <t>IMPREVISTOS</t>
  </si>
  <si>
    <t>ESTUDIO DISEÑO Y PLANOS</t>
  </si>
  <si>
    <t>TOTAL A PAGAR EN CUBICACION 02</t>
  </si>
  <si>
    <t xml:space="preserve">                                                              OLIVER JOSE NAZARIO BRUGAL</t>
  </si>
  <si>
    <t xml:space="preserve">                                                             DIRECTOR GENERAL</t>
  </si>
  <si>
    <t>Pág, 01/03</t>
  </si>
  <si>
    <t>RD$16,206,557,12</t>
  </si>
  <si>
    <t>AMPLIACION DEL SISTEMA DE ABASTECIMIENTO DE AGUA POTABLE DE GUANANICO</t>
  </si>
  <si>
    <t>RD$3,24,1311,42</t>
  </si>
  <si>
    <t>CUBICACION NO:</t>
  </si>
  <si>
    <t>RD$3,231,349.38</t>
  </si>
  <si>
    <t>ABRIL 16, 2024</t>
  </si>
  <si>
    <t>NO, CONTRATO:</t>
  </si>
  <si>
    <t>003/2022</t>
  </si>
  <si>
    <t>ING, ANEUDY SANTOS</t>
  </si>
  <si>
    <t>UND,</t>
  </si>
  <si>
    <t>P, U, RD$</t>
  </si>
  <si>
    <t>INGENIERIA</t>
  </si>
  <si>
    <t>MES</t>
  </si>
  <si>
    <t>LEVANTAMIENTO TOPOGRAFICO</t>
  </si>
  <si>
    <t>KM</t>
  </si>
  <si>
    <t>CAMPAMENTO</t>
  </si>
  <si>
    <t xml:space="preserve">VALLA DE IDENTIFICACION DE OBRA </t>
  </si>
  <si>
    <t xml:space="preserve">LETRERO PARA MANEJO DE TRANSITO </t>
  </si>
  <si>
    <t xml:space="preserve">SUBTOTAL </t>
  </si>
  <si>
    <t xml:space="preserve">LIMPIEZA  DE GALERIA EXISTENTE </t>
  </si>
  <si>
    <t>ALQUILER DE RETRO-EXCAVADORA</t>
  </si>
  <si>
    <t xml:space="preserve">HORAS </t>
  </si>
  <si>
    <t xml:space="preserve">LIMPIEZA </t>
  </si>
  <si>
    <t>REHABILITACION DE CASETA DE BOMBEO</t>
  </si>
  <si>
    <t>LIMPIEZA GENERAL</t>
  </si>
  <si>
    <t>PISO PULIDO Y MANO DE OBRA 4X6</t>
  </si>
  <si>
    <t>CALZADA DE ENTRADA Y MANO DE OBRA 3.5X1.2</t>
  </si>
  <si>
    <t>PICADO DE PAÑETE EXISTENTE EN LOSA</t>
  </si>
  <si>
    <t>PLATAFORMA DE BOMBA 1.5X1.5 HA E=0.15M 3/8 @0.25M EN</t>
  </si>
  <si>
    <t>PAÑETE</t>
  </si>
  <si>
    <t>FINO EN TECHO</t>
  </si>
  <si>
    <t xml:space="preserve">PINTURA ACRILICA </t>
  </si>
  <si>
    <t xml:space="preserve">SUMINISTRO Y COLOCACION EN PUERTA Y VENTANA  EN HIERRO   </t>
  </si>
  <si>
    <t>P2</t>
  </si>
  <si>
    <t>ILUMINACION INTERNA Y EXTERNA</t>
  </si>
  <si>
    <t>VALVULA PLATILLADA VASTAGO ASCENDENTE 4"</t>
  </si>
  <si>
    <t xml:space="preserve">AFORO DE ESTACION </t>
  </si>
  <si>
    <t xml:space="preserve">LETRERO DE IDENTIFICACION DE  ESTACION CON LOGO </t>
  </si>
  <si>
    <t>MEJORAMIENTO RED DISTRIBUCION ( SUMINISTRO Y COLOCACION)</t>
  </si>
  <si>
    <t>TUBERIA DE 3# PVC-SDR26 C/J DE GOMA +5% P/ CAMPANA</t>
  </si>
  <si>
    <t xml:space="preserve">VALVULAS DE COMPUERTA 3" VASTAGO FIJO  COMPLETA  </t>
  </si>
  <si>
    <t xml:space="preserve">VALVULAS DE COMPUERTA 2" VASTAGO FIJO  COMPLETA  </t>
  </si>
  <si>
    <t>RELLENO COMPACTADO 40% DE EXCAVACION</t>
  </si>
  <si>
    <t>SUMINISTRO MATERIAL C/TOSCA O CALICHE P/SUST. M.</t>
  </si>
  <si>
    <t>ASFALTO</t>
  </si>
  <si>
    <t>RECOLOCACION DE ASFALTO</t>
  </si>
  <si>
    <t>RIEGO DE IMPRIMACION</t>
  </si>
  <si>
    <t xml:space="preserve">SUBTOTAL  </t>
  </si>
  <si>
    <t xml:space="preserve">ACOMETIDAS </t>
  </si>
  <si>
    <t xml:space="preserve">COLOCACION DE ACOMETIDAS </t>
  </si>
  <si>
    <t xml:space="preserve"> REHABILITACION DE TANQUE DISTRIBUCION</t>
  </si>
  <si>
    <t>LIMPIEZA DE TERRENO</t>
  </si>
  <si>
    <t>RECONSTRUCCION DE PASARELA EN TOLA</t>
  </si>
  <si>
    <t>PINTURA EPOXICA</t>
  </si>
  <si>
    <t>PINTURA ANTIOXIDO</t>
  </si>
  <si>
    <t>CONFECCION DE ANDAMIOS</t>
  </si>
  <si>
    <t>REPARACION COLUMNA TANQUE</t>
  </si>
  <si>
    <t>VALVULA VASTAGO FIJO 3" COMPLETA</t>
  </si>
  <si>
    <t>VALVULA VASTAGO FIJO 4" COMPLETA</t>
  </si>
  <si>
    <t>CONSTRUCCION DE TANQUES DE DISTRIBUCION AGUA LARGA</t>
  </si>
  <si>
    <t>TANQUE SUPERFICIAL  H.A. DE 100M3</t>
  </si>
  <si>
    <t xml:space="preserve">CONFECCION CAMINO DE ACCESO AL TANQUE CON RETROPALA </t>
  </si>
  <si>
    <t xml:space="preserve">LETRERO DE IDENTIFICACION DE TANQUE CON LOGO </t>
  </si>
  <si>
    <t xml:space="preserve">RED DE DISTRIBUCION </t>
  </si>
  <si>
    <t xml:space="preserve">CORTE DE ASFALTO </t>
  </si>
  <si>
    <t>REPARACION AVERIA EN LINEA DE 4"</t>
  </si>
  <si>
    <t>REPARACION AVERIA EN LINEA DE 2"</t>
  </si>
  <si>
    <t xml:space="preserve">EMPALME  A TANQUE DE ALMACENAMIENTO DE AGUA LARGA </t>
  </si>
  <si>
    <t>LINEA DE IMPULSION A TANQUE  AGUA LARGA TUBERIA SDR-26 C/J DE GOMA</t>
  </si>
  <si>
    <t>EMPALME  A RED DISTRIBUCION DESDE EL TANQUE AGUA LARGA  TUBERIA SDR-26 C/J DE GOMA</t>
  </si>
  <si>
    <t xml:space="preserve">SUMINISTRO TUBERIA 3" EN HN </t>
  </si>
  <si>
    <t xml:space="preserve">LINEA DE IMPULSION A TANQUE EXISTENTE </t>
  </si>
  <si>
    <t>REPLANTEO</t>
  </si>
  <si>
    <t>LINEA DE IMPULSION( SUMINISTRO Y COLOCACION)</t>
  </si>
  <si>
    <t>TUBERIA DE 6" PVC-SCH-40 C/J DE GOMA +5% P/CAMPANA</t>
  </si>
  <si>
    <t xml:space="preserve">VALVULAS DE AIRE DE 3/4 </t>
  </si>
  <si>
    <t xml:space="preserve">VALVULAS DE COMPUERTA VASTAGO FIJO 6" COMPLETA  </t>
  </si>
  <si>
    <t>RELLENO REPOSICION COMPACTADO 40% DE EXCAVACION</t>
  </si>
  <si>
    <t>SUMINISTRO MATERIAL C/TOSCA  COMPACTADO</t>
  </si>
  <si>
    <t xml:space="preserve">EMPALME  A TANQUE EXISTENTE </t>
  </si>
  <si>
    <t>SUMINISTRO E INSTALACION TUBERIA DE 6"  HN</t>
  </si>
  <si>
    <t xml:space="preserve">PINTURA ANTIOXIDO </t>
  </si>
  <si>
    <t xml:space="preserve">PINTURA EPOXICA </t>
  </si>
  <si>
    <t xml:space="preserve">CONFECCION DE ANDAMIOS </t>
  </si>
  <si>
    <t>MOTOBOMBA COMPLETA 110GPM Y 180´DE TDH</t>
  </si>
  <si>
    <t>INSTALACION ELECTRICA DE MEDIA TENSION</t>
  </si>
  <si>
    <t>SUMINISTRO E INSTALACION TRANSFORMADOR DE 3*15KVA 7200/12400-240/480V EN POSTE</t>
  </si>
  <si>
    <t>BASE PARA TRANSFORMADOR</t>
  </si>
  <si>
    <t>USO DE GRUA PARA SUBIR LOS TRANSFORMADORES</t>
  </si>
  <si>
    <t xml:space="preserve">EXTRACCION DE POSTE </t>
  </si>
  <si>
    <t xml:space="preserve">HOYO PARA VIENTO </t>
  </si>
  <si>
    <t xml:space="preserve">CUT OUT </t>
  </si>
  <si>
    <t>ESTRUCTURA TIPO MT-316</t>
  </si>
  <si>
    <t>ESTRUCTURA TIPO MT-307</t>
  </si>
  <si>
    <t>ESTRUCTURA HA-100</t>
  </si>
  <si>
    <t>SISTEMA DE TIERRA</t>
  </si>
  <si>
    <t>MATERIALES VARIOS</t>
  </si>
  <si>
    <t>MANO DE OBRA</t>
  </si>
  <si>
    <t>SUBTOTAL MEDIA TENSION</t>
  </si>
  <si>
    <t>INSTALACION ELECTRICA DE BAJA TENSION</t>
  </si>
  <si>
    <t>ALIMENTADOR DESDE TRANSFORMADOR A ENCLOSURE BREAKER</t>
  </si>
  <si>
    <t>CONDULET DE 1</t>
  </si>
  <si>
    <t>CONDULET DE 2</t>
  </si>
  <si>
    <t>ALAMBRE AWG #6</t>
  </si>
  <si>
    <t xml:space="preserve">PIES </t>
  </si>
  <si>
    <t>TUBO IMC DE 2*10</t>
  </si>
  <si>
    <t>TUBO EMT DE 1/2*10</t>
  </si>
  <si>
    <t>TUBO EMT DE 1*10</t>
  </si>
  <si>
    <t>ABRAZADERA UNITRUD DE 1/2</t>
  </si>
  <si>
    <t>BREAKER ENCLOSURE 100AMP</t>
  </si>
  <si>
    <t xml:space="preserve">BASE PORTA MEDIDOR INDUSTRIAL </t>
  </si>
  <si>
    <t>CANALETA  UNISTRUD DE1 1/2</t>
  </si>
  <si>
    <t>SUBTOTAL BAJA TENSION</t>
  </si>
  <si>
    <t>ALIMENTADOR DESDE ENCLOSURE BRERAKER A PANEL DE ARRANQUE</t>
  </si>
  <si>
    <t xml:space="preserve">PANEL DE CONTROL PARA BOMBAS </t>
  </si>
  <si>
    <t>ALIMENTADOR DESDE ARRANCADOR A MOTOR 1</t>
  </si>
  <si>
    <t>ALAMBRE #6/4</t>
  </si>
  <si>
    <t xml:space="preserve">MATERIALES VARIOS </t>
  </si>
  <si>
    <t xml:space="preserve">MANO DE OBRA </t>
  </si>
  <si>
    <t xml:space="preserve">UD </t>
  </si>
  <si>
    <t xml:space="preserve">SUMINISTRO E INSTALACION BOMBA DE AGUA LARGA </t>
  </si>
  <si>
    <t xml:space="preserve">PANEL DE CONTROL </t>
  </si>
  <si>
    <t>ALAMBRE #10</t>
  </si>
  <si>
    <t>ALAMBRE DE GOMA #8/3</t>
  </si>
  <si>
    <t xml:space="preserve">VALVULA DE 2" DE BOLA </t>
  </si>
  <si>
    <t>ADAPTADORES LISO DE 2"</t>
  </si>
  <si>
    <t xml:space="preserve">MANO DE OBRAS </t>
  </si>
  <si>
    <t xml:space="preserve">SUMINISTRO DE BOMBA 26GAL/MIN VS 65MTS TDH </t>
  </si>
  <si>
    <t xml:space="preserve">PINTURA ESTACION </t>
  </si>
  <si>
    <t>RED DISTRIBUCION SECTOR LOS NUÑEZ</t>
  </si>
  <si>
    <t xml:space="preserve">RELLENO REPOSICION COMPACTADO </t>
  </si>
  <si>
    <t xml:space="preserve">EMBELLECIMIENTO </t>
  </si>
  <si>
    <t xml:space="preserve">EMBELLICIMIENTO Y MURALIZACION DE TANQUE EXISTENTE </t>
  </si>
  <si>
    <t xml:space="preserve">COLOCACION DE LOGO Y LETRAS </t>
  </si>
  <si>
    <t xml:space="preserve">ANDAMIO </t>
  </si>
  <si>
    <t>SUBTOTAL PRESUPUESTO</t>
  </si>
  <si>
    <t xml:space="preserve">ajuste de partidas pagadas y  no fueron ejecutadas/cambio por ajuste de precio  </t>
  </si>
  <si>
    <t>REHABILITACION DE GALERIA EXISTENTE</t>
  </si>
  <si>
    <t>TUBO 16" PVC SDR-26</t>
  </si>
  <si>
    <t>TUBO 8" SDR-26</t>
  </si>
  <si>
    <t>REPOSICION DE GAVIONES</t>
  </si>
  <si>
    <t>MANO DE  OBRA DE ORIFICIOS A TUBERIA</t>
  </si>
  <si>
    <t>SUBTOTAL REHABILITACION</t>
  </si>
  <si>
    <t xml:space="preserve">AMPLIACION DE CASETA DE LA GALERIA </t>
  </si>
  <si>
    <t>AMPLIACION DE GALERIA</t>
  </si>
  <si>
    <t>SUBTOTAL AMPLIACION</t>
  </si>
  <si>
    <t>RD$3,241,311,42</t>
  </si>
  <si>
    <t>MONTO ADENDA:RD$3,231,349.38</t>
  </si>
  <si>
    <t xml:space="preserve">SUB-TOTAL GENERAL PRESUPUESTO </t>
  </si>
  <si>
    <t>SUB-TOTAL GASTOS DIRECTOS</t>
  </si>
  <si>
    <t>TOTAL GENERAL PRESUPUESTADO</t>
  </si>
  <si>
    <t xml:space="preserve">TOTAL CUBICADO </t>
  </si>
  <si>
    <t>SOMETIDO EN CUBICACIONES ANTERIORES</t>
  </si>
  <si>
    <t>TOTAL A PAGAR EN CUBICACION 04</t>
  </si>
  <si>
    <t xml:space="preserve">         MARCOS JOEL GARCIA GARCIA</t>
  </si>
  <si>
    <t xml:space="preserve">ROMAN ANEUDI SANTOS PILAR </t>
  </si>
  <si>
    <t xml:space="preserve"> OLIVER JOSE NAZARIO BRUGAL</t>
  </si>
  <si>
    <t>ENC. FISCALIZACION DE OBRAS</t>
  </si>
  <si>
    <t>AMPLIACION ACUEDUCTO CABARETE</t>
  </si>
  <si>
    <t>Mayo 09, 2024</t>
  </si>
  <si>
    <t>006/2022</t>
  </si>
  <si>
    <t>ESTEBAN POLANCO</t>
  </si>
  <si>
    <t>I</t>
  </si>
  <si>
    <t xml:space="preserve">LINEA DE IMPULSION LOS CASTILLOS </t>
  </si>
  <si>
    <t xml:space="preserve">SUMINISTRO Y COLOCACION DE LETREROS </t>
  </si>
  <si>
    <t>CORTE DE ASFALTO</t>
  </si>
  <si>
    <t xml:space="preserve">MANTENIMIENTO DEL TRANSITO </t>
  </si>
  <si>
    <t xml:space="preserve">MOVIMIENTOS DE TIERRA </t>
  </si>
  <si>
    <t>RELLENO COMPACTADO DE REPOSICION</t>
  </si>
  <si>
    <t xml:space="preserve">DEMOLICION DE SUPERFICIE CON COMPRESOR </t>
  </si>
  <si>
    <t>HORAS</t>
  </si>
  <si>
    <t xml:space="preserve">TUBERIA  PVC SDR-26 6" C/JG+5% POR CAMPANA </t>
  </si>
  <si>
    <t xml:space="preserve">TUBERIA  PVC SDR-26 4" C/JG+5% POR CAMPANA </t>
  </si>
  <si>
    <t xml:space="preserve">TUBERIA  PVC SCH-40 2" C/JG+5% POR CAMPANA </t>
  </si>
  <si>
    <t xml:space="preserve">ACOMETIDAS DOMICILIARIAS </t>
  </si>
  <si>
    <t xml:space="preserve">ELECTROBOMBA MONOBLOQUE HIDROMAC 275GPM VS 260'TDH INCULUYE MANIFOLD </t>
  </si>
  <si>
    <t>KIT ARRANCADOR MAGNETICO 30 HP 460V 3F</t>
  </si>
  <si>
    <t>PIEZAS ESPECIALES (SUMINISTRO Y COLOCACION)</t>
  </si>
  <si>
    <t>CODOS EN HIERRO NEGRO DE 45 GRADOS DE 6"</t>
  </si>
  <si>
    <t>CODOS EN HIERRO NEGRO DE 90 GRADOS DE 6"</t>
  </si>
  <si>
    <t>TEE EN HIERRO NEGRO SOLDABLE DE 6"</t>
  </si>
  <si>
    <t xml:space="preserve">VALVULAS DE COMPUERTA PLATILLADA DE Ø6" VASTAGO FIJO </t>
  </si>
  <si>
    <t>CODOS EN HIERRO NEGRO DE 45 GRADOS DE 4"</t>
  </si>
  <si>
    <t>CODOS EN HIERRO NEGRO DE 90 GRADOS DE 4"</t>
  </si>
  <si>
    <t>TEE EN HIERRO NEGRO SOLDABLE DE 4"</t>
  </si>
  <si>
    <t xml:space="preserve">VALVULAS DE COMPUERTA PLATILLADA DE Ø4" VASTAGO FIJO </t>
  </si>
  <si>
    <t>CODOS EN HIERRO NEGRO DE 45 GRADOS DE 2"</t>
  </si>
  <si>
    <t>CODOS EN HIERRO NEGRO DE 90 GRADOS DE 2"</t>
  </si>
  <si>
    <t>TEE EN HIERRO NEGRO SOLDABLE DE 2"</t>
  </si>
  <si>
    <t xml:space="preserve">VALVULAS DE COMPUERTA PLATILLADA DE Ø2" VASTAGO FIJO </t>
  </si>
  <si>
    <t>VALVULAS DE AIRE DE 1" 250 PSI DE TRIPLE FUNCION, COMPLETA CON SU NIPLE Y VALVULA DE BOLA</t>
  </si>
  <si>
    <t>JUNTA DRESSER DE 6"</t>
  </si>
  <si>
    <t>JUNTA DRESSER DE 4"</t>
  </si>
  <si>
    <t>JUNTA DRESSER DE 2"</t>
  </si>
  <si>
    <t>Sub total</t>
  </si>
  <si>
    <t>ANCLAJES EN CONCRETO</t>
  </si>
  <si>
    <t>ANCLAJE EN TUBERIA DE 6" (1.0X0.85X0.60)H.S.</t>
  </si>
  <si>
    <t>II</t>
  </si>
  <si>
    <t xml:space="preserve">LINEA DE DISTRIBUCION CALLEJON DE LA LOMA </t>
  </si>
  <si>
    <t xml:space="preserve">DEMOLICION ROCA CON COMPRESOR </t>
  </si>
  <si>
    <t xml:space="preserve">TUBERIA 6 PVC SDR-26 C/JG+5% POR CAMPANA </t>
  </si>
  <si>
    <t>BOMBA SUMERGIBLE DE 400 GPM Y 280 TDH, PANEL DE CONTROL CON CABLE</t>
  </si>
  <si>
    <t>BOMBA SUMERGIBLE DE 400 GPM Y 180 TDH, PANEL DE CONTROL CON CABLE</t>
  </si>
  <si>
    <t xml:space="preserve">AFORO POZOS DE CABARETE </t>
  </si>
  <si>
    <t xml:space="preserve">PRUEBA  DE AFORO </t>
  </si>
  <si>
    <t xml:space="preserve">ANALISIS QUIMICO </t>
  </si>
  <si>
    <t xml:space="preserve">INFORME CONCLUSIONES Y RECOMENDACIONES </t>
  </si>
  <si>
    <t xml:space="preserve">ALQUILER DE PLANTA </t>
  </si>
  <si>
    <t>III</t>
  </si>
  <si>
    <t xml:space="preserve">INSTALACION ELECTRICA </t>
  </si>
  <si>
    <t>INSTALACION ELECTRICA</t>
  </si>
  <si>
    <t>INSTALACION ELECTRICA LINEA DE IMPULSION LOS CASTILLOS</t>
  </si>
  <si>
    <t>INSTALACION ELECTRICA DISTRIBUCION DEL CALLEJON DE LA LOMA</t>
  </si>
  <si>
    <t xml:space="preserve">                                                                                                               CORPORACION DE ACUEDUCTOS Y ALCANTARILLADOS DE PUERTO PLATA</t>
  </si>
  <si>
    <t xml:space="preserve"> ESTEBAN POLANCO MOLINA</t>
  </si>
  <si>
    <t xml:space="preserve">SUB-TOTAL GENERAL PRESUPUESTO + ADICIONALES </t>
  </si>
  <si>
    <t>GASTOS DE TRANSPORTE</t>
  </si>
  <si>
    <t xml:space="preserve">TOTAL GENERAL  </t>
  </si>
  <si>
    <t xml:space="preserve">ESTEBAN POLANCO MOLINA </t>
  </si>
  <si>
    <t>AMPLIACION ACUEDUCTO LA CATALINA</t>
  </si>
  <si>
    <t>RD$16,490,796.77</t>
  </si>
  <si>
    <t>9 de Mayo, 2024</t>
  </si>
  <si>
    <t>004/2022</t>
  </si>
  <si>
    <t>SUSAN DEL PILAR MORONTA DE POLANCO</t>
  </si>
  <si>
    <t>A</t>
  </si>
  <si>
    <t>PRELIMINARES</t>
  </si>
  <si>
    <t>CASETA DE MATERIALES</t>
  </si>
  <si>
    <t>PREPARACION DE CAMINO DE ACCESO</t>
  </si>
  <si>
    <t xml:space="preserve">CONFECCION DE LETRERO Y ROTULO PARA IDENTIFICACION </t>
  </si>
  <si>
    <t>DEMOLICION Y BOTE DE OBRA DE TOMA EXISTENTE</t>
  </si>
  <si>
    <t>SUBTOTAL PRELIMINARES</t>
  </si>
  <si>
    <t>CARCAMO DE BOMBEO</t>
  </si>
  <si>
    <t>CONSTRUCION DE CARCAMO DE BOMBEO TUBERIA H.S DE 48" X 6.5 MTS DE PROFUNDIDAD BAJO NIVEL DE PISO Y 2.50 MTS SOBRE NIVEL DE PISO</t>
  </si>
  <si>
    <t>MALLA PERIMETRAL CARCAMO (5MTX5MT)</t>
  </si>
  <si>
    <t>SUMINISTRO Y COLOCACION MANOMETRO SUMERGIDO EN GLICERINA</t>
  </si>
  <si>
    <t xml:space="preserve">CONSTRUCCION DE CASETA DE CLORACION </t>
  </si>
  <si>
    <t>SISTEMA DE CLORACION POR SOLUCION CON CAPACIDAD DE DOSIFICACION DE 0 A</t>
  </si>
  <si>
    <t>ELECTROBOMBA CENTRIFUGA VERTICAL NO AUTOCEBANTE, CON IMPULSIONES Y C</t>
  </si>
  <si>
    <t>SUM E INSTA. DE VALVULA DE COMPUERTA DE 6" COMPLETA PARA LA SALIDA DE LA|</t>
  </si>
  <si>
    <t>SUBTOTAL CARCAMO DE BOMBEO</t>
  </si>
  <si>
    <t>PLATAFORMA PARA ELEVAR CARCAMO SEGÚN DISEÑO</t>
  </si>
  <si>
    <t>EXCAVACION A MANO</t>
  </si>
  <si>
    <t>RELLENO COMPACTADO</t>
  </si>
  <si>
    <t>ZAPATAS MUROS 8" 0.60M X 0.25M HORMIGON 1:2:4 CON LIGADORA</t>
  </si>
  <si>
    <t>MUROS DE HORMIGON ARMADO DE 0.20M ESPESOR 3/8 @0.20M A.D Y A.C 210 KG/CM2</t>
  </si>
  <si>
    <t>LOSA HA E= 0.15M 3/8 @ 0.25M AD HORMIGON INDUSTRIAL 210 KG/CM2</t>
  </si>
  <si>
    <t>EMPAÑETE PULIDO</t>
  </si>
  <si>
    <t>PINTURA ACRILICA PREPARADA INT/EXT</t>
  </si>
  <si>
    <t>RECUBRIMIENTO DE TUBO EN HORMIGON E= 0.12M 3/8@ 0.25M AD</t>
  </si>
  <si>
    <t>LOSA DE PLATAFORMA NIVEL DE PISO PARA PROTECCION DE TUBERIA DE POZO HA E= 0.20M 3/8@0.25M EN A.D. FROTADO 1:2:4 CON LIGADORA</t>
  </si>
  <si>
    <t>ANCLAJE 0.8X1.0X0.8 MTS PARA TUBERIA SALIDA DE PLATAFORMA (SUMINISTROS Y COLOCACION)</t>
  </si>
  <si>
    <t>SUBTOTAL PLATFORMA</t>
  </si>
  <si>
    <t>OBRA DE TOMA</t>
  </si>
  <si>
    <t>ADECUACION DE TERRENO PARA ENCOFRADO Y VACIADO</t>
  </si>
  <si>
    <t>USO DE BOMBA DE ACHIQUE</t>
  </si>
  <si>
    <t>HORMIGON INDUSTRIAL 210 KG/CM2+10% DESP.</t>
  </si>
  <si>
    <t>ACERO 1/2 @15CM AD</t>
  </si>
  <si>
    <t>QQ</t>
  </si>
  <si>
    <t>ALAMBRE DULCE NO.18</t>
  </si>
  <si>
    <t>LB</t>
  </si>
  <si>
    <t>ENCOFRADO Y DESENCOFRADO</t>
  </si>
  <si>
    <t>TUBERIA DE 6" ACERO</t>
  </si>
  <si>
    <t>GAVIONES</t>
  </si>
  <si>
    <t xml:space="preserve">CAMARA DE LIMPIEZA </t>
  </si>
  <si>
    <t>SUM E INT. DE VALVULA DE COMPUERTA DE 6" COMPLETA PARA LA SALIDA DE LA</t>
  </si>
  <si>
    <t xml:space="preserve">SUM E INT DE VALVULA DE COMPUERTA DE 8" COMPLETA PARA LA OBRA DE TOMA </t>
  </si>
  <si>
    <t>SUM E INST. DE REJILLA</t>
  </si>
  <si>
    <t>SUBTOTAL OBRA DE TOMA</t>
  </si>
  <si>
    <t>POZOS NUEVOS A PERFORAR 2 UNIDADES</t>
  </si>
  <si>
    <t>PERFORACION POZO ACERO 12"</t>
  </si>
  <si>
    <t>PL</t>
  </si>
  <si>
    <t>HINCADO DE TUBERIA 12" ACERO</t>
  </si>
  <si>
    <t>RANURADO, CORTE Y SOLDADURA DE TUBERIA 12"</t>
  </si>
  <si>
    <t>SUMINISTRO DE ZAPARA</t>
  </si>
  <si>
    <t>SUMINISTRO DE TUBERIA DE 12" ACERO 3/8</t>
  </si>
  <si>
    <t>PRUEBA DE AFORO 24 H</t>
  </si>
  <si>
    <t>ANALISIS FIS-QUIMICO Y BACTERIOLOGICO-AGUAS</t>
  </si>
  <si>
    <t>INFORME TECNICO CON SUS CONCLUSIONES Y RECOMENDACIONES</t>
  </si>
  <si>
    <t xml:space="preserve">SUMINISTRO DE AGUA PARA LA PERFORACION </t>
  </si>
  <si>
    <t>SUBTOTAL POZOS NUEVOS</t>
  </si>
  <si>
    <t>TRABAJOS EN CISTERNA Y ESTACION DE BOMBEO</t>
  </si>
  <si>
    <t>LIMPIEZA DE AREAS EN GENERAL</t>
  </si>
  <si>
    <t xml:space="preserve">PINTURA </t>
  </si>
  <si>
    <t>REHABILITACION DE EQUIPOS Y PIEZAS ESPECIALES</t>
  </si>
  <si>
    <t>SUBTOTAL CISTERNA Y ESTACION</t>
  </si>
  <si>
    <t>TRABAJOS ELECTROMECANICOS GENERAL Y HABILITACION COMPLETA DE POZOS</t>
  </si>
  <si>
    <t>SUBTOTAL GENERAL DE PRESUPUESTO</t>
  </si>
  <si>
    <t>ADICIONALES POR  NUEVAS PARTIDAS</t>
  </si>
  <si>
    <t>PARTIDAS PRESUPUESTO</t>
  </si>
  <si>
    <t>P.U. RD$</t>
  </si>
  <si>
    <t>1.,00</t>
  </si>
  <si>
    <t>PREMILINARES</t>
  </si>
  <si>
    <t>PINTURA EDIFICIO PLANTA DE TRATAMIENTO</t>
  </si>
  <si>
    <t>REPARACION MALL CICLONICA Y TRINCHERAS</t>
  </si>
  <si>
    <t>LIMPIEZA , REPARACION Y MANTENIMIENTO FOSAS 1</t>
  </si>
  <si>
    <t>LIMPIEZA, REPARACION Y MANTENIMIENTO DE FOSAS 2</t>
  </si>
  <si>
    <t>LIMPIEZA, REPARACION Y MANTENIMIENTO DE CISTERNA 1</t>
  </si>
  <si>
    <t>LIMPIEZA, REPARACION Y MANTENIMIENTO DE CISTERNA 2</t>
  </si>
  <si>
    <t>REPARACION Y MANTENIMIENTO BAÑOS</t>
  </si>
  <si>
    <t>REPARACION Y MANTENIMIENTO PUERTAS</t>
  </si>
  <si>
    <t>REPARACION Y MANTENIMIENTO VENTANAS</t>
  </si>
  <si>
    <t>LIMPIEZA, REPARACION Y MANTENIMIENTO TECHOS</t>
  </si>
  <si>
    <t xml:space="preserve">REPARACION Y MANTENIMIENTO LUMINARIAS Y TOMACORRIENTES </t>
  </si>
  <si>
    <t>LIMPIEZA, REPARACION Y MANTENIMIENTO BARANDAS Y PASAMANOS</t>
  </si>
  <si>
    <t>REPARACION Y MANTENIMIENTO PORTAL ACCESO</t>
  </si>
  <si>
    <t>PERFORACION DE 3 POZOS</t>
  </si>
  <si>
    <t>PERFORACION DE POZOS A ROTACION</t>
  </si>
  <si>
    <t>HINCADO DE TUBERIA DE 8"</t>
  </si>
  <si>
    <t xml:space="preserve">PL </t>
  </si>
  <si>
    <t>RANURADO Y CORTES TUBERIAS</t>
  </si>
  <si>
    <t>SUMINISTRO DE TUBERIAS PVC 8" SDR-26</t>
  </si>
  <si>
    <t>ANALISIS FIS-QUIIMICO Y BACTERIOLOGICO-AGUA</t>
  </si>
  <si>
    <t>SUMINISTRO DE AGUA PARA LA PERFORACION</t>
  </si>
  <si>
    <t>PREPARACION BASE DE POZOS</t>
  </si>
  <si>
    <t>PRUEBA DE CAUDAL DE POZO</t>
  </si>
  <si>
    <t>REPARACION DE VALVULA DE GUILLOTINA</t>
  </si>
  <si>
    <t>REPARACION DE COMPUERTAS</t>
  </si>
  <si>
    <t xml:space="preserve">SUBTOTAL PERFORACION </t>
  </si>
  <si>
    <t xml:space="preserve">SUBTOTAL ADICIONALES  </t>
  </si>
  <si>
    <t xml:space="preserve">PARTIDAS NO SE REALIZARAN </t>
  </si>
  <si>
    <t>SUBTOTAL GENERAL</t>
  </si>
  <si>
    <t xml:space="preserve">LAS PARTIDAS EN ROJO NO SE RELAIZARAN </t>
  </si>
  <si>
    <t>EN LOS PROXIMOS DIAS SE ESTARA REALIZANDO UN PRESUPUESTO REFORMULADO</t>
  </si>
  <si>
    <t>Pág. 02/02</t>
  </si>
  <si>
    <t>.</t>
  </si>
  <si>
    <t>TOTAL A PAGAR EN CUBICACION 03</t>
  </si>
  <si>
    <t>ACUEDUCTO MARIA LA O</t>
  </si>
  <si>
    <t>RD$29,891,922.14</t>
  </si>
  <si>
    <t>RD$5,978,384.428</t>
  </si>
  <si>
    <t>MAYO 09, 2024</t>
  </si>
  <si>
    <t>005/2022</t>
  </si>
  <si>
    <t>ESPIRAL S.R.L</t>
  </si>
  <si>
    <t>LINEA DE IMPULSION</t>
  </si>
  <si>
    <t>SUMINISTRO Y COLOCACION DE :</t>
  </si>
  <si>
    <t>TUBERIA PVC-SDR21 8" +5% POR CAMP</t>
  </si>
  <si>
    <t>TUBERIA PVC-SDR21 12" +5% POR CAMP</t>
  </si>
  <si>
    <t>TUBERIA PVC-SDR26 12" +5% POR CAMP</t>
  </si>
  <si>
    <t>ASIENTO DE ARENA DE 10CM</t>
  </si>
  <si>
    <t>ANCLAJE EN CONCRETO</t>
  </si>
  <si>
    <t>ANCLAJE EN TUBERIA DE 8" (1.0X0.75X0.6) H.S</t>
  </si>
  <si>
    <t>ANCLAJE EN TUBERIA DE 12" (1.0X0.75X0.6) H.S</t>
  </si>
  <si>
    <t>B</t>
  </si>
  <si>
    <t>LINEA DE DISTRIBUCION</t>
  </si>
  <si>
    <t>TUBERIA PVC-SDR 21 12" +5% POR CAMP</t>
  </si>
  <si>
    <t>TUBERIA PVC-SDR  26+5% POR CAMP</t>
  </si>
  <si>
    <t>ANCLAJE EN TUBERIA (1.0X0.85X0.6) H.S.</t>
  </si>
  <si>
    <t>C</t>
  </si>
  <si>
    <t>TANQUE DE ALMACENAMIENTO DE 500 M3</t>
  </si>
  <si>
    <t>CASETA PARA MATERIALES</t>
  </si>
  <si>
    <t>EXCAVACION MATERIAL COMPACTADO CON EQUIPO</t>
  </si>
  <si>
    <t>RELLENO COMPACTADO CON CALICHE CON COMPACTADOR MECANICO EN CAPAS DE 0.30M</t>
  </si>
  <si>
    <t>BOTE DE MATERIAL SOBRANTE (INCLUYE CARGUIO Y ESPARCIMIENTO EN BOTADERO) (D= 5KM)</t>
  </si>
  <si>
    <t>HORMIGON ARMADO 280 KG/CM2 EN:</t>
  </si>
  <si>
    <t>ZAPATA DE MURO (0.40X1.25M) M -2.79 QQ/M3</t>
  </si>
  <si>
    <t>LOSA DE FONDO 0.20 M -1.33 QQ/M3</t>
  </si>
  <si>
    <t>ZAPATA DE COLUMNA CENTRAL C1 (0.40X0.40) M-2.42 QQ/M3</t>
  </si>
  <si>
    <t>ZABALETA EN HORMIGON SIMPLE FC=180 KG/CM2</t>
  </si>
  <si>
    <t>MURO H.A 0.30M-2.55 QQ/M3</t>
  </si>
  <si>
    <t>COLUMNA C1 (0.40X0.40) M -5.19 QQ/M3</t>
  </si>
  <si>
    <t>COLUMNA C2 (0.40X0.40) M -4.37 QQ/M3</t>
  </si>
  <si>
    <t>VIGA (0.25X0.50) M- 5.07 QQ/M3</t>
  </si>
  <si>
    <t>LOSA DE TECHO 0.15M -0.93 QQ/M3</t>
  </si>
  <si>
    <t>MURO DE TAPA 0.15 M EN H.S FC=180 KG/CM2</t>
  </si>
  <si>
    <t>TERMINACION DE SUPERFICIE</t>
  </si>
  <si>
    <t>PAÑETE INTERIOR PULIDO</t>
  </si>
  <si>
    <t>PAÑETE EXTERIOR</t>
  </si>
  <si>
    <t>FINO DE TECHO</t>
  </si>
  <si>
    <t>FINO DE FONDO PULIDO</t>
  </si>
  <si>
    <t>PINTURA ACRILICA (INCLUYE BASE BLANCA)</t>
  </si>
  <si>
    <t>INSTALACION ENTRADA, SALIDA, REBOSE, DESAGUE Y BY-PASS ( CON PROTECCION ANTICORROSIVA)</t>
  </si>
  <si>
    <t>CODO 12" X 90 " ACERO SCH-30</t>
  </si>
  <si>
    <t>CODO 8" X 90" ACERO SCH-40</t>
  </si>
  <si>
    <t>TEE 12" X 12" ACERO SCH-30</t>
  </si>
  <si>
    <t>TEE 12" X 8" ACERO SCH-30</t>
  </si>
  <si>
    <t>JUNTA MECANICA TIPO DRESSER DIA 12" ACERO SCH-30</t>
  </si>
  <si>
    <t>JUNTA MECANICA TIPO DRESSER DIA 8" ACERO SCH-30</t>
  </si>
  <si>
    <t>VALVULAS DE COMPUERTA DE 8" COMPLETA (PN10, VASTAGO FIJO, JUNTAS DRESSER CRIOLLA, 2 NIPLES PLATILLADOS DE 8", JUNTAS DE GOMA Y SUS TORNILLOS)</t>
  </si>
  <si>
    <t>TUBERIA DE 12" ACERO SCH-30</t>
  </si>
  <si>
    <t>M</t>
  </si>
  <si>
    <t>TUBERIA DE 12"CON JUNTA DE GOMA</t>
  </si>
  <si>
    <t>TUBERIA DE 8 " ACERO SCH-40 PARA DESAGUE</t>
  </si>
  <si>
    <t>ANLCAJE H.S. PARA PIEZAS ESPECIALES ( SEGÚN DISEÑO)</t>
  </si>
  <si>
    <t>NIPLES ACERO 12" X 3" SCH-30</t>
  </si>
  <si>
    <t>NIPLES ACERO 8" X 3" SCH-30</t>
  </si>
  <si>
    <t>MANO DE OBRA PLOMERO Y SOLDADOR (INCLUYE NIPLES)</t>
  </si>
  <si>
    <t>REGISTRO MURO BLOCK 6" (1.20X1.20X1.50) M (SEGÚN DISEÑO)</t>
  </si>
  <si>
    <t>REGISTRO MURO BLOCK 8" (3.0X2.20X1.50) M</t>
  </si>
  <si>
    <t>TAPA DE ALUMINIO (0.8X0.8) M PARA REGISTRO</t>
  </si>
  <si>
    <t>TAPA DE ALUMINIO (0.6X0.6) M PARA REGISTRO</t>
  </si>
  <si>
    <t>ESCALERA INTERIOR HIERRO GALVANIZADO DE 3/4" H= 4.00 M</t>
  </si>
  <si>
    <t>ESCALERA EXTERIOR HIERRO GALVANIZADO DE 3/4" H= 2.50 M</t>
  </si>
  <si>
    <t>MOVIMIENTO DE TIERRA PARA TUBERIA</t>
  </si>
  <si>
    <t>SUMINISTRO Y COLOCACION ASIENTO DE ARENA E= 0.10M</t>
  </si>
  <si>
    <t xml:space="preserve">D </t>
  </si>
  <si>
    <t>INTERCONCEXION A LINEA DE 20"</t>
  </si>
  <si>
    <t>INTERCONEXION A LINEA DE 20"</t>
  </si>
  <si>
    <t>PICADO DE CALLE CONEXIÓN A TUBERIA, SUMINISTRO Y COLOCACION DE TEE REDUCTORA 20" A 12" EN HN, ADECUACION Y REHABILITACION DE CALLE</t>
  </si>
  <si>
    <t>EXCAVACION NO CLASIFICADA</t>
  </si>
  <si>
    <t>ASIENTO DE GRAVA DE 10 CM</t>
  </si>
  <si>
    <t>E</t>
  </si>
  <si>
    <t>PIEZAS ESPECIALES ( SUMINISTRO Y COLOCACION)</t>
  </si>
  <si>
    <t>CODOS EN HIERRO NEGRO DE 45 GRADOS DE 8"</t>
  </si>
  <si>
    <t>CODOS EN HIERRO NEGRO DE 90 GRADOS DE 8"</t>
  </si>
  <si>
    <t>CODOS EN HIERRO NEGRO DE 45 GRADOS DE 12"</t>
  </si>
  <si>
    <t>CODOS EN HIERRO NEGRO DE 90 GRADOS DE 12"</t>
  </si>
  <si>
    <t>VALVULAS DE AIRE DE 2"250 PSI DE TRIPLE FUNCION, COMPLETA CON SU NIPLE Y VALVULA DE BOLA</t>
  </si>
  <si>
    <t>VALVULAS DE AIRE DE 1"250 PSI DE TRIPLE FUNCION, COMPLETA CON SU NIPLE Y VALVULA DE BOLA</t>
  </si>
  <si>
    <t>VALVULA MARIPOSA 20" TIPO MARIPOSA, VASTAGO FIJO CON CUADRANTE INCLUYE: NIPLES PLATILLADOS, JUNTAS DE GOMA, TORNILLOS Y JUNTAS DRESSER CRIOLLAS.</t>
  </si>
  <si>
    <t>JUNTA DRESSER DE 8"</t>
  </si>
  <si>
    <t>JUNTA DRESSER DE 12"</t>
  </si>
  <si>
    <t>F</t>
  </si>
  <si>
    <t>ESTACION DE BOMBEO #1</t>
  </si>
  <si>
    <t>BOMBA SUMERGIBLE DE 400 GPM Y 300 TDH, PANEL DE CONTROL CON CABLE DE PANEL A MOTOR DE 120 PIES, CONTROL DE FASE, 100 PIES DE COLUMNAS DE DIAMETRO EN FUNCION DE LA BOMBA</t>
  </si>
  <si>
    <t>CHEQUE HORIZONTAL 8" PLATILLADO COMPLETO (PN 10, ASIENTO EN BRONCE, NIPLES PLATILLADOS, JUNTAS DE GOMA Y SUS TORNILLOS)</t>
  </si>
  <si>
    <t>VALVULAS COMPUERTA 8"  COMPLETA ( PN 10, VASTAGO FIJO, JUNTAS DRESSER CRIOLLA, 2 NIPLES PLATILLADOS DE 8", JUNTAS DE GOMAS Y SUS TORNILLOS)</t>
  </si>
  <si>
    <t>SUMINISTRO E INSTALACION DE MANIFOLD DE 8". INCLUIR MANOMETRO DE 0-200 PSI</t>
  </si>
  <si>
    <t>PILAR PARA INSTALACION DE PANEL DE CONTROL EN H.A. 210 KG/CM2 (0.5X1.8X0.20) 3/8 A 20 AD (INCLUIR ZAPATA 1.2X1.2X0.25)</t>
  </si>
  <si>
    <t>VACIADO DE RECUBRIMIENTO DE TUBERIA DEL POZO</t>
  </si>
  <si>
    <t>CERCADO DE AREA DE ESTACION DE BOMBEO 4MX4M EN MALLA CICLONICA 6 PIES</t>
  </si>
  <si>
    <t>G</t>
  </si>
  <si>
    <t>ESTACION DE BOMBEO #2</t>
  </si>
  <si>
    <t>SUMINISTRO E INSTALACION DE MANIFOLD DE 8". INCLUIR MANOMETRO DE 0-200 PSI.</t>
  </si>
  <si>
    <t xml:space="preserve">H </t>
  </si>
  <si>
    <t xml:space="preserve">                                                                                                     ADICIONALES POR NUEVAS PARTIDAS/AUMENTO DE VOLUMEN/CAMBIO DE PARTIDA</t>
  </si>
  <si>
    <t>EXCAVACIÓN ADIC. C/EQUIPO EN ZONA DE ANCLAJE</t>
  </si>
  <si>
    <t>EXCAVACIÓN ADIC. A MANO EN ZONA ALCANTARILLA 48" (16.00 X 0.90 X 2.00)</t>
  </si>
  <si>
    <t>DIAS/H</t>
  </si>
  <si>
    <t xml:space="preserve">LINEA DE IMPULSION </t>
  </si>
  <si>
    <t xml:space="preserve">REPARACIONES DE TUBERIAS EXISTENTES </t>
  </si>
  <si>
    <t xml:space="preserve">PREELIMINARES </t>
  </si>
  <si>
    <t xml:space="preserve">LETRERO DE OBRA </t>
  </si>
  <si>
    <t xml:space="preserve">CAMPAMENTO GENERAL </t>
  </si>
  <si>
    <t xml:space="preserve">MESES </t>
  </si>
  <si>
    <t xml:space="preserve">MANEJO DEL TRANSITO Y SEÑALIZACION </t>
  </si>
  <si>
    <t>SUBTOTAL ADICIONALES</t>
  </si>
  <si>
    <t>SUBTOTAL PRESUPUESTO MENOS PARTIDAS NO SE EJECUTARAN</t>
  </si>
  <si>
    <t xml:space="preserve">NOTA </t>
  </si>
  <si>
    <t xml:space="preserve">LAS PARTIDAS MARCADAS EN ROJO NO SE SERAN EJECUTADAS </t>
  </si>
  <si>
    <t xml:space="preserve">LIQUIDACION DE OBREROS </t>
  </si>
  <si>
    <t xml:space="preserve">TOTAL GENERAL CUBICADO </t>
  </si>
  <si>
    <t>ALEXANDER DOMINGUEZ MARTINEZ</t>
  </si>
  <si>
    <t>SERVICIO DE CONSTRUCCION Y PERFORACION DE POZOS EN VARIAS COMUNIDADES,  PROV.  PTO. PTA.</t>
  </si>
  <si>
    <t>MONTO ADENDA</t>
  </si>
  <si>
    <t>RD$ 621,482.40</t>
  </si>
  <si>
    <t>Junio 04,2024</t>
  </si>
  <si>
    <t>002/2021</t>
  </si>
  <si>
    <t xml:space="preserve">Juan Antonio Guzman Carmona </t>
  </si>
  <si>
    <t>TRABAJOS GENERALES POZOS MARIA LA O</t>
  </si>
  <si>
    <t>Perforaracion con barrena de 12" de diametro para encamisar tuberia pvc sdr-26 de 12 de diametro de 120 pies, localizado en Mario O, Sosua.</t>
  </si>
  <si>
    <t>PIE</t>
  </si>
  <si>
    <t>Suministro de tubo sdr-26 de 12" de diametro, localidad Maria la O, sosua</t>
  </si>
  <si>
    <t>Prueba o aforo del pozo por 24 horas contiunuas utilizando una  bomba sumergible con capacidad de 600 GPM, informe tecnico y recomendaciones para el diseño del equipo de bombeo.</t>
  </si>
  <si>
    <t xml:space="preserve">           SUB-TOTAL POZO MARIA O</t>
  </si>
  <si>
    <t xml:space="preserve">TRABAJOS GENERALES POZO EN LA BALSA </t>
  </si>
  <si>
    <t xml:space="preserve">Perforaracion con barrena de 8" de diametro encamisado con tuberia hierro negro de 8" de diametro de 80 pies, localizado en estero hondo, villa isabela </t>
  </si>
  <si>
    <t>Suministro de tuberia de hierro negro de 8" de diametro</t>
  </si>
  <si>
    <t xml:space="preserve">desarrollo de acuiferos </t>
  </si>
  <si>
    <t xml:space="preserve">Trabajo de corte y soldadura </t>
  </si>
  <si>
    <t xml:space="preserve">           SUB-TOTAL POZO EN LA BALSA </t>
  </si>
  <si>
    <t>TRABAJOS GENERALES POZOS CABARETE(LAS CUEVAS)</t>
  </si>
  <si>
    <t>Perforaracion con barrena de 10" de diametro encamisado con tuberia hierro negro de 10" de diametro de 140 pies, localizado en las cuevas , cabarete</t>
  </si>
  <si>
    <t>Suministro de tuberia de hierro negro de 10" de diametro</t>
  </si>
  <si>
    <t>Prueba o aforo del pozo por 24 horas continuas utilizando una  bomba sumergible con capacidad de 600 GPM, informe tecnico y recomendaciones para el diseño del equipo de bombeo.</t>
  </si>
  <si>
    <t xml:space="preserve">           SUB-TOTAL POZOS CABARETE </t>
  </si>
  <si>
    <t>REPERFORACION Y LIMPIEZA  POZO BARRANCON</t>
  </si>
  <si>
    <t xml:space="preserve">Pistoneo y desarrollo de acuiferos </t>
  </si>
  <si>
    <t xml:space="preserve">           SUB-TOTAL LIMPIEZA POZOS DE BARRANCON </t>
  </si>
  <si>
    <r>
      <t xml:space="preserve">TRABAJOS GENERALES POZO </t>
    </r>
    <r>
      <rPr>
        <sz val="9"/>
        <rFont val="Times New Roman"/>
        <family val="1"/>
      </rPr>
      <t>V</t>
    </r>
    <r>
      <rPr>
        <b/>
        <sz val="9"/>
        <rFont val="Times New Roman"/>
        <family val="1"/>
      </rPr>
      <t>UELTA LARGA</t>
    </r>
  </si>
  <si>
    <t>Perforacion con barrena de 10" de diametro encamisado con tuberia hierro negro de 10" de diametro de 140 pies, localizado en vuelta larga , Imbert</t>
  </si>
  <si>
    <t xml:space="preserve">           SUB-TOTAL POZO VUELTA LARGA </t>
  </si>
  <si>
    <t>TRABAJOS GENERALES POZO LA LLANADA , VILLA ISABELA</t>
  </si>
  <si>
    <t xml:space="preserve">Perforaracion con barrena de 12" de diametro encamisado con tuberia hierro negro de 10" de diametro de 100 pies, localizado en la llanada , villa isabela </t>
  </si>
  <si>
    <t>Suministro de tuberia de hierro negro de 12" de diametro</t>
  </si>
  <si>
    <t xml:space="preserve">           SUB-TOTAL POZO LA LLANADA, VILLA ISABELA </t>
  </si>
  <si>
    <t>PRUEBA DE AFORO</t>
  </si>
  <si>
    <t xml:space="preserve">Prueba de aforo en Amegadizo </t>
  </si>
  <si>
    <t xml:space="preserve">PA </t>
  </si>
  <si>
    <t xml:space="preserve">Prueba de aforo en Gualetico </t>
  </si>
  <si>
    <t xml:space="preserve">SUB-TOTAL PRUEBA DE AFORO ,VILLA ISABELA  </t>
  </si>
  <si>
    <t xml:space="preserve">PERFORACION DE POZOS EN GINEBRA ARZENO, MUNICIPIO SAN FELIPE </t>
  </si>
  <si>
    <t xml:space="preserve">Perforaracion con barrena de 10" de diametro encamisado con tuberia hierro negro de 8" de diametro de 80 pies, localizado en Ginebra Arzeno , Municipio San Felipe </t>
  </si>
  <si>
    <t xml:space="preserve">   SUB-TOTAL GINEBRA ARZENO , MUNICIPIO SAN FELIPE </t>
  </si>
  <si>
    <t>TRABAJOS GENERALES POZO GUALETICO</t>
  </si>
  <si>
    <t>Junio 04, 2024</t>
  </si>
  <si>
    <t>TOTAL PRESUPUESTO</t>
  </si>
  <si>
    <t>JUAN ANTONIO GUZMAN CARMONA</t>
  </si>
  <si>
    <t>OLIVER JOSE NAZARIO BRUGAL</t>
  </si>
  <si>
    <t>CONSTRUCCION DE COLECTORES DE AGUAS RESIDUALES EN LAS TRES PALMAS, PUERTO PLATA</t>
  </si>
  <si>
    <t xml:space="preserve">2 y FINAL </t>
  </si>
  <si>
    <t>JUNIO 27, 2024</t>
  </si>
  <si>
    <t>007/2021</t>
  </si>
  <si>
    <t>NILDA ALTAGRACIA SANDOVAL CASTILLO</t>
  </si>
  <si>
    <t>ASIENTO DE GRAVA</t>
  </si>
  <si>
    <t>TUBERIA DE 8" DE HN 3/8 DE ESPESOR</t>
  </si>
  <si>
    <t>SUBTOTAL SUMINISTRO Y COLOC.</t>
  </si>
  <si>
    <t>REUBICACION DE TUBERIA Y DAÑOS DE VIVIENDA</t>
  </si>
  <si>
    <t>REUBICACION DE TUBERIA EXISTENTE</t>
  </si>
  <si>
    <t xml:space="preserve">SUBTOTAL PINTURA </t>
  </si>
  <si>
    <t xml:space="preserve">ESTRUCTURA DE HORMIGON </t>
  </si>
  <si>
    <t>BACHEO DE CALLE CON HORMIGON SIMPLE 1:2:4 LIG.</t>
  </si>
  <si>
    <t>CONSTRUCCION REGISTROS DENTRO DEL EMISARIO</t>
  </si>
  <si>
    <t>CONSTRUCCION REGISTROS FUERA  DEL EMISARIO</t>
  </si>
  <si>
    <t xml:space="preserve">REPARACION VERJA MUROS DE BLOQUES DE 6 </t>
  </si>
  <si>
    <t xml:space="preserve">VIGA DE AMARRE </t>
  </si>
  <si>
    <t>COLUMNAS 25X25</t>
  </si>
  <si>
    <t>REPARACION DE REGISTROS EXISTENTE</t>
  </si>
  <si>
    <t>CONFECCION DE TAPA METALICA PARA REGISTRO</t>
  </si>
  <si>
    <t>DEMOLICION DE MURO</t>
  </si>
  <si>
    <t xml:space="preserve">ajuste de partidas pagadas </t>
  </si>
  <si>
    <t xml:space="preserve">CONSTRUCCION DE COLECTORES DE AGUAS RESIDUALES EN LAS TRES PALMAS, PUERTO PLATA
</t>
  </si>
  <si>
    <t xml:space="preserve">TOTAL A PAGAR EN CUBICACION 02 Y FINAL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</si>
</sst>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4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&quot;RD$&quot;#,##0.00_);[Red]\(&quot;RD$&quot;#,##0.00\)"/>
    <numFmt numFmtId="167" formatCode="0.0"/>
    <numFmt numFmtId="168" formatCode="_(* #,##0_);_(* \(#,##0\);_(* &quot;-&quot;??_);_(@_)"/>
    <numFmt numFmtId="169" formatCode="_(* #,##0.000_);_(* \(#,##0.000\);_(* &quot;-&quot;??_);_(@_)"/>
    <numFmt numFmtId="170" formatCode="#,##0.000_);[Red]\(#,##0.000\)"/>
    <numFmt numFmtId="171" formatCode="0.0%"/>
    <numFmt numFmtId="172" formatCode="_(&quot;RD$&quot;* #,##0.00_);_(&quot;RD$&quot;* \(#,##0.00\);_(&quot;RD$&quot;* &quot;-&quot;??_);_(@_)"/>
    <numFmt numFmtId="173" formatCode="0.00000"/>
    <numFmt numFmtId="174" formatCode="&quot;RD$&quot;#,##0.00"/>
    <numFmt numFmtId="175" formatCode="#,##0.00000_);\(#,##0.00000\)"/>
    <numFmt numFmtId="176" formatCode="#,##0.00000"/>
    <numFmt numFmtId="177" formatCode="&quot;RD$&quot;#,##0.00_);\(&quot;RD$&quot;#,##0.00\)"/>
    <numFmt numFmtId="178" formatCode="&quot;$&quot;#,##0.00"/>
    <numFmt numFmtId="179" formatCode="#,##0.000"/>
    <numFmt numFmtId="180" formatCode="#,##0.00\ _€;[Red]#,##0.00\ _€"/>
    <numFmt numFmtId="181" formatCode="#,##0.0000_);\(#,##0.0000\)"/>
    <numFmt numFmtId="182" formatCode="_(* #,##0.00000_);_(* \(#,##0.00000\);_(* &quot;-&quot;?????_);_(@_)"/>
    <numFmt numFmtId="183" formatCode="#,##0.000000_);\(#,##0.000000\)"/>
    <numFmt numFmtId="184" formatCode="_(* #,##0.000000_);_(* \(#,##0.000000\);_(* &quot;-&quot;??????_);_(@_)"/>
    <numFmt numFmtId="185" formatCode="#,##0.000000000000"/>
    <numFmt numFmtId="186" formatCode="#,##0.000000000"/>
    <numFmt numFmtId="187" formatCode="#,##0.0000"/>
    <numFmt numFmtId="188" formatCode="_(* #,##0.00000000_);_(* \(#,##0.00000000\);_(* &quot;-&quot;????????_);_(@_)"/>
    <numFmt numFmtId="189" formatCode="0.000"/>
    <numFmt numFmtId="190" formatCode="#,##0.000_);\(#,##0.000\)"/>
    <numFmt numFmtId="191" formatCode="#,##0.00000000"/>
    <numFmt numFmtId="192" formatCode="#,##0.000000"/>
    <numFmt numFmtId="193" formatCode="0.000000"/>
    <numFmt numFmtId="194" formatCode="&quot;RD$&quot;#,##0.000_);[Red]\(&quot;RD$&quot;#,##0.000\)"/>
    <numFmt numFmtId="195" formatCode="&quot;RD$&quot;#,##0.000"/>
    <numFmt numFmtId="196" formatCode="&quot;RD$&quot;#,##0_);\(&quot;RD$&quot;#,##0\)"/>
  </numFmts>
  <fonts count="50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9"/>
      <name val="Times New Roman"/>
      <family val="1"/>
    </font>
    <font>
      <b/>
      <sz val="9"/>
      <color indexed="12"/>
      <name val="Times New Roman"/>
      <family val="1"/>
    </font>
    <font>
      <sz val="9"/>
      <name val="Times New Roman"/>
      <family val="1"/>
    </font>
    <font>
      <b/>
      <sz val="9"/>
      <color rgb="FF3F3F3F"/>
      <name val="Times New Roman"/>
      <family val="1"/>
    </font>
    <font>
      <b/>
      <sz val="9"/>
      <color theme="1"/>
      <name val="Times New Roman"/>
      <family val="1"/>
    </font>
    <font>
      <sz val="9"/>
      <color theme="1"/>
      <name val="Times New Roman"/>
      <family val="1"/>
    </font>
    <font>
      <sz val="9"/>
      <color rgb="FF3F3F3F"/>
      <name val="Times New Roman"/>
      <family val="1"/>
    </font>
    <font>
      <sz val="9"/>
      <color rgb="FFFF0000"/>
      <name val="Times New Roman"/>
      <family val="1"/>
    </font>
    <font>
      <b/>
      <sz val="9"/>
      <color theme="9" tint="-0.499984740745262"/>
      <name val="Times New Roman"/>
      <family val="1"/>
    </font>
    <font>
      <b/>
      <sz val="8"/>
      <color theme="9" tint="-0.499984740745262"/>
      <name val="Times New Roman"/>
      <family val="1"/>
    </font>
    <font>
      <b/>
      <sz val="9"/>
      <color rgb="FFFF0000"/>
      <name val="Times New Roman"/>
      <family val="1"/>
    </font>
    <font>
      <sz val="10"/>
      <name val="Times New Roman"/>
      <family val="1"/>
    </font>
    <font>
      <sz val="12"/>
      <color theme="1"/>
      <name val="Adobe Garamond Pro"/>
      <family val="1"/>
    </font>
    <font>
      <sz val="12"/>
      <name val="Adobe Garamond Pro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0"/>
      <name val="Arial"/>
      <family val="2"/>
    </font>
    <font>
      <sz val="12"/>
      <color theme="0"/>
      <name val="Times New Roman"/>
      <family val="1"/>
    </font>
    <font>
      <b/>
      <sz val="12"/>
      <name val="Times New Roman"/>
      <family val="1"/>
    </font>
    <font>
      <b/>
      <sz val="10"/>
      <color theme="1"/>
      <name val="Times New Roman"/>
      <family val="1"/>
    </font>
    <font>
      <sz val="12"/>
      <color theme="1"/>
      <name val="Times New Roman"/>
      <family val="1"/>
    </font>
    <font>
      <b/>
      <u/>
      <sz val="9"/>
      <name val="Times New Roman"/>
      <family val="1"/>
    </font>
    <font>
      <b/>
      <sz val="10"/>
      <name val="Times New Roman"/>
      <family val="1"/>
    </font>
    <font>
      <sz val="10"/>
      <color theme="1"/>
      <name val="Times New Roman"/>
      <family val="1"/>
    </font>
    <font>
      <b/>
      <sz val="10"/>
      <name val="Arial"/>
      <family val="2"/>
    </font>
    <font>
      <b/>
      <sz val="10"/>
      <color theme="0"/>
      <name val="Arial"/>
      <family val="2"/>
    </font>
    <font>
      <b/>
      <sz val="9"/>
      <color theme="0"/>
      <name val="Times New Roman"/>
      <family val="1"/>
    </font>
    <font>
      <b/>
      <sz val="12"/>
      <name val="Aptos Narrow"/>
      <family val="2"/>
      <scheme val="minor"/>
    </font>
    <font>
      <sz val="11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  <font>
      <sz val="8"/>
      <color theme="1"/>
      <name val="Times New Roman"/>
      <family val="1"/>
    </font>
    <font>
      <sz val="9"/>
      <name val="Arial"/>
      <family val="2"/>
    </font>
    <font>
      <b/>
      <sz val="9"/>
      <name val="Aptos Narrow"/>
      <family val="2"/>
      <scheme val="minor"/>
    </font>
    <font>
      <b/>
      <u/>
      <sz val="9"/>
      <color theme="1"/>
      <name val="Times New Roman"/>
      <family val="1"/>
    </font>
    <font>
      <sz val="8"/>
      <name val="Times New Roman"/>
      <family val="1"/>
    </font>
    <font>
      <b/>
      <sz val="8"/>
      <color theme="1"/>
      <name val="Times New Roman"/>
      <family val="1"/>
    </font>
    <font>
      <b/>
      <sz val="8"/>
      <name val="Times New Roman"/>
      <family val="1"/>
    </font>
    <font>
      <sz val="10"/>
      <color rgb="FFFF0000"/>
      <name val="Times New Roman"/>
      <family val="1"/>
    </font>
    <font>
      <sz val="9"/>
      <color rgb="FF000000"/>
      <name val="Times New Roman"/>
      <family val="1"/>
    </font>
    <font>
      <sz val="10"/>
      <color theme="1"/>
      <name val="Aptos Narrow"/>
      <family val="2"/>
      <scheme val="minor"/>
    </font>
    <font>
      <sz val="10"/>
      <name val="Arial"/>
    </font>
    <font>
      <b/>
      <sz val="10"/>
      <color theme="9" tint="-0.499984740745262"/>
      <name val="Times New Roman"/>
      <family val="1"/>
    </font>
    <font>
      <b/>
      <sz val="10"/>
      <color indexed="12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1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1" applyNumberFormat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7" fillId="0" borderId="0"/>
    <xf numFmtId="43" fontId="1" fillId="0" borderId="0" applyFont="0" applyFill="0" applyBorder="0" applyAlignment="0" applyProtection="0"/>
    <xf numFmtId="0" fontId="22" fillId="0" borderId="0"/>
    <xf numFmtId="165" fontId="17" fillId="0" borderId="0" applyFont="0" applyFill="0" applyBorder="0" applyAlignment="0" applyProtection="0"/>
    <xf numFmtId="0" fontId="17" fillId="0" borderId="0"/>
    <xf numFmtId="165" fontId="22" fillId="0" borderId="0" applyFont="0" applyFill="0" applyBorder="0" applyAlignment="0" applyProtection="0"/>
    <xf numFmtId="0" fontId="17" fillId="0" borderId="0"/>
    <xf numFmtId="43" fontId="22" fillId="0" borderId="0" applyFont="0" applyFill="0" applyBorder="0" applyAlignment="0" applyProtection="0"/>
    <xf numFmtId="0" fontId="47" fillId="0" borderId="0"/>
    <xf numFmtId="165" fontId="47" fillId="0" borderId="0" applyFont="0" applyFill="0" applyBorder="0" applyAlignment="0" applyProtection="0"/>
    <xf numFmtId="165" fontId="22" fillId="0" borderId="0" applyFont="0" applyFill="0" applyBorder="0" applyAlignment="0" applyProtection="0"/>
    <xf numFmtId="9" fontId="47" fillId="0" borderId="0" applyFont="0" applyFill="0" applyBorder="0" applyAlignment="0" applyProtection="0"/>
    <xf numFmtId="172" fontId="47" fillId="0" borderId="0" applyFont="0" applyFill="0" applyBorder="0" applyAlignment="0" applyProtection="0"/>
  </cellStyleXfs>
  <cellXfs count="1241">
    <xf numFmtId="0" fontId="0" fillId="0" borderId="0" xfId="0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/>
    <xf numFmtId="0" fontId="6" fillId="0" borderId="0" xfId="0" applyFont="1" applyAlignment="1">
      <alignment horizontal="right"/>
    </xf>
    <xf numFmtId="0" fontId="6" fillId="0" borderId="0" xfId="0" applyFont="1"/>
    <xf numFmtId="49" fontId="6" fillId="0" borderId="0" xfId="0" applyNumberFormat="1" applyFont="1" applyAlignment="1">
      <alignment horizontal="right"/>
    </xf>
    <xf numFmtId="166" fontId="6" fillId="0" borderId="0" xfId="0" applyNumberFormat="1" applyFont="1" applyAlignment="1">
      <alignment horizontal="left"/>
    </xf>
    <xf numFmtId="0" fontId="6" fillId="0" borderId="0" xfId="0" applyFont="1" applyAlignment="1">
      <alignment horizontal="left"/>
    </xf>
    <xf numFmtId="17" fontId="6" fillId="0" borderId="0" xfId="0" applyNumberFormat="1" applyFont="1" applyAlignment="1">
      <alignment horizontal="right"/>
    </xf>
    <xf numFmtId="14" fontId="6" fillId="0" borderId="0" xfId="0" applyNumberFormat="1" applyFont="1"/>
    <xf numFmtId="0" fontId="9" fillId="2" borderId="1" xfId="4" applyFont="1" applyAlignment="1">
      <alignment horizontal="center"/>
    </xf>
    <xf numFmtId="0" fontId="6" fillId="6" borderId="3" xfId="0" applyFont="1" applyFill="1" applyBorder="1" applyAlignment="1">
      <alignment horizontal="center" vertical="top"/>
    </xf>
    <xf numFmtId="0" fontId="6" fillId="6" borderId="4" xfId="0" applyFont="1" applyFill="1" applyBorder="1" applyAlignment="1">
      <alignment horizontal="center"/>
    </xf>
    <xf numFmtId="165" fontId="6" fillId="6" borderId="4" xfId="1" applyFont="1" applyFill="1" applyBorder="1" applyAlignment="1">
      <alignment horizontal="center"/>
    </xf>
    <xf numFmtId="165" fontId="6" fillId="6" borderId="5" xfId="1" applyFont="1" applyFill="1" applyBorder="1" applyAlignment="1">
      <alignment horizontal="center"/>
    </xf>
    <xf numFmtId="165" fontId="9" fillId="2" borderId="1" xfId="4" applyNumberFormat="1" applyFont="1" applyAlignment="1">
      <alignment horizontal="center"/>
    </xf>
    <xf numFmtId="0" fontId="9" fillId="2" borderId="1" xfId="4" applyFont="1" applyAlignment="1">
      <alignment horizontal="left" vertical="top"/>
    </xf>
    <xf numFmtId="0" fontId="10" fillId="4" borderId="4" xfId="6" applyFont="1" applyBorder="1" applyAlignment="1">
      <alignment horizontal="center"/>
    </xf>
    <xf numFmtId="165" fontId="10" fillId="4" borderId="4" xfId="6" applyNumberFormat="1" applyFont="1" applyBorder="1" applyAlignment="1">
      <alignment horizontal="center"/>
    </xf>
    <xf numFmtId="165" fontId="10" fillId="4" borderId="6" xfId="6" applyNumberFormat="1" applyFont="1" applyBorder="1" applyAlignment="1">
      <alignment horizontal="center"/>
    </xf>
    <xf numFmtId="167" fontId="6" fillId="7" borderId="7" xfId="0" applyNumberFormat="1" applyFont="1" applyFill="1" applyBorder="1" applyAlignment="1">
      <alignment horizontal="center" vertical="top"/>
    </xf>
    <xf numFmtId="0" fontId="6" fillId="7" borderId="2" xfId="0" applyFont="1" applyFill="1" applyBorder="1"/>
    <xf numFmtId="0" fontId="8" fillId="7" borderId="2" xfId="0" applyFont="1" applyFill="1" applyBorder="1"/>
    <xf numFmtId="0" fontId="8" fillId="7" borderId="2" xfId="0" applyFont="1" applyFill="1" applyBorder="1" applyAlignment="1">
      <alignment horizontal="center"/>
    </xf>
    <xf numFmtId="165" fontId="8" fillId="7" borderId="2" xfId="1" applyFont="1" applyFill="1" applyBorder="1" applyAlignment="1"/>
    <xf numFmtId="165" fontId="9" fillId="2" borderId="1" xfId="4" applyNumberFormat="1" applyFont="1" applyAlignment="1"/>
    <xf numFmtId="0" fontId="9" fillId="8" borderId="1" xfId="4" applyFont="1" applyFill="1" applyAlignment="1">
      <alignment horizontal="left" vertical="top"/>
    </xf>
    <xf numFmtId="0" fontId="9" fillId="8" borderId="1" xfId="4" applyFont="1" applyFill="1"/>
    <xf numFmtId="0" fontId="11" fillId="4" borderId="2" xfId="6" applyFont="1" applyBorder="1" applyAlignment="1">
      <alignment horizontal="center"/>
    </xf>
    <xf numFmtId="165" fontId="11" fillId="4" borderId="2" xfId="6" applyNumberFormat="1" applyFont="1" applyBorder="1" applyAlignment="1"/>
    <xf numFmtId="165" fontId="11" fillId="4" borderId="8" xfId="6" applyNumberFormat="1" applyFont="1" applyBorder="1" applyAlignment="1"/>
    <xf numFmtId="2" fontId="8" fillId="7" borderId="7" xfId="0" applyNumberFormat="1" applyFont="1" applyFill="1" applyBorder="1" applyAlignment="1">
      <alignment horizontal="center" vertical="top"/>
    </xf>
    <xf numFmtId="165" fontId="8" fillId="7" borderId="9" xfId="1" applyFont="1" applyFill="1" applyBorder="1" applyAlignment="1"/>
    <xf numFmtId="165" fontId="9" fillId="8" borderId="1" xfId="4" applyNumberFormat="1" applyFont="1" applyFill="1" applyAlignment="1"/>
    <xf numFmtId="2" fontId="8" fillId="8" borderId="2" xfId="0" applyNumberFormat="1" applyFont="1" applyFill="1" applyBorder="1" applyAlignment="1">
      <alignment horizontal="right"/>
    </xf>
    <xf numFmtId="165" fontId="8" fillId="8" borderId="2" xfId="1" applyFont="1" applyFill="1" applyBorder="1" applyAlignment="1"/>
    <xf numFmtId="165" fontId="11" fillId="4" borderId="2" xfId="6" applyNumberFormat="1" applyFont="1" applyBorder="1" applyAlignment="1">
      <alignment horizontal="center"/>
    </xf>
    <xf numFmtId="165" fontId="11" fillId="4" borderId="10" xfId="6" applyNumberFormat="1" applyFont="1" applyBorder="1" applyAlignment="1"/>
    <xf numFmtId="4" fontId="8" fillId="9" borderId="2" xfId="0" applyNumberFormat="1" applyFont="1" applyFill="1" applyBorder="1" applyAlignment="1">
      <alignment horizontal="right"/>
    </xf>
    <xf numFmtId="2" fontId="9" fillId="2" borderId="1" xfId="4" applyNumberFormat="1" applyFont="1" applyAlignment="1">
      <alignment horizontal="right"/>
    </xf>
    <xf numFmtId="10" fontId="9" fillId="2" borderId="1" xfId="4" applyNumberFormat="1" applyFont="1" applyAlignment="1"/>
    <xf numFmtId="165" fontId="10" fillId="4" borderId="10" xfId="6" applyNumberFormat="1" applyFont="1" applyBorder="1" applyAlignment="1"/>
    <xf numFmtId="4" fontId="6" fillId="9" borderId="2" xfId="0" applyNumberFormat="1" applyFont="1" applyFill="1" applyBorder="1" applyAlignment="1">
      <alignment horizontal="right"/>
    </xf>
    <xf numFmtId="0" fontId="6" fillId="7" borderId="2" xfId="0" applyFont="1" applyFill="1" applyBorder="1" applyAlignment="1">
      <alignment horizontal="center"/>
    </xf>
    <xf numFmtId="165" fontId="6" fillId="7" borderId="2" xfId="1" applyFont="1" applyFill="1" applyBorder="1" applyAlignment="1"/>
    <xf numFmtId="165" fontId="6" fillId="7" borderId="9" xfId="1" applyFont="1" applyFill="1" applyBorder="1" applyAlignment="1"/>
    <xf numFmtId="4" fontId="11" fillId="9" borderId="8" xfId="6" applyNumberFormat="1" applyFont="1" applyFill="1" applyBorder="1" applyAlignment="1"/>
    <xf numFmtId="2" fontId="6" fillId="7" borderId="11" xfId="0" applyNumberFormat="1" applyFont="1" applyFill="1" applyBorder="1" applyAlignment="1">
      <alignment horizontal="center" vertical="top"/>
    </xf>
    <xf numFmtId="0" fontId="6" fillId="7" borderId="12" xfId="0" applyFont="1" applyFill="1" applyBorder="1"/>
    <xf numFmtId="0" fontId="8" fillId="7" borderId="12" xfId="0" applyFont="1" applyFill="1" applyBorder="1" applyAlignment="1">
      <alignment horizontal="center"/>
    </xf>
    <xf numFmtId="2" fontId="8" fillId="7" borderId="11" xfId="0" applyNumberFormat="1" applyFont="1" applyFill="1" applyBorder="1" applyAlignment="1">
      <alignment horizontal="center" vertical="center"/>
    </xf>
    <xf numFmtId="0" fontId="8" fillId="7" borderId="12" xfId="0" applyFont="1" applyFill="1" applyBorder="1"/>
    <xf numFmtId="165" fontId="9" fillId="2" borderId="1" xfId="4" applyNumberFormat="1" applyFont="1" applyAlignment="1">
      <alignment horizontal="right"/>
    </xf>
    <xf numFmtId="165" fontId="12" fillId="2" borderId="1" xfId="4" applyNumberFormat="1" applyFont="1" applyAlignment="1"/>
    <xf numFmtId="39" fontId="11" fillId="4" borderId="10" xfId="6" applyNumberFormat="1" applyFont="1" applyBorder="1" applyAlignment="1"/>
    <xf numFmtId="0" fontId="8" fillId="7" borderId="10" xfId="0" applyFont="1" applyFill="1" applyBorder="1"/>
    <xf numFmtId="0" fontId="8" fillId="7" borderId="10" xfId="0" applyFont="1" applyFill="1" applyBorder="1" applyAlignment="1">
      <alignment horizontal="center"/>
    </xf>
    <xf numFmtId="2" fontId="8" fillId="7" borderId="13" xfId="0" applyNumberFormat="1" applyFont="1" applyFill="1" applyBorder="1" applyAlignment="1">
      <alignment horizontal="center" vertical="top"/>
    </xf>
    <xf numFmtId="39" fontId="10" fillId="4" borderId="10" xfId="6" applyNumberFormat="1" applyFont="1" applyBorder="1" applyAlignment="1"/>
    <xf numFmtId="4" fontId="10" fillId="4" borderId="8" xfId="6" applyNumberFormat="1" applyFont="1" applyBorder="1" applyAlignment="1"/>
    <xf numFmtId="2" fontId="6" fillId="7" borderId="2" xfId="0" applyNumberFormat="1" applyFont="1" applyFill="1" applyBorder="1" applyAlignment="1">
      <alignment horizontal="center" vertical="top"/>
    </xf>
    <xf numFmtId="0" fontId="6" fillId="7" borderId="2" xfId="0" applyFont="1" applyFill="1" applyBorder="1" applyAlignment="1">
      <alignment horizontal="left"/>
    </xf>
    <xf numFmtId="4" fontId="11" fillId="4" borderId="8" xfId="6" applyNumberFormat="1" applyFont="1" applyBorder="1" applyAlignment="1"/>
    <xf numFmtId="2" fontId="8" fillId="7" borderId="2" xfId="0" applyNumberFormat="1" applyFont="1" applyFill="1" applyBorder="1" applyAlignment="1">
      <alignment horizontal="center" vertical="center"/>
    </xf>
    <xf numFmtId="0" fontId="8" fillId="7" borderId="2" xfId="0" applyFont="1" applyFill="1" applyBorder="1" applyAlignment="1">
      <alignment wrapText="1"/>
    </xf>
    <xf numFmtId="2" fontId="8" fillId="7" borderId="2" xfId="0" applyNumberFormat="1" applyFont="1" applyFill="1" applyBorder="1" applyAlignment="1">
      <alignment horizontal="center" vertical="top"/>
    </xf>
    <xf numFmtId="0" fontId="6" fillId="7" borderId="2" xfId="0" applyFont="1" applyFill="1" applyBorder="1" applyAlignment="1">
      <alignment vertical="center"/>
    </xf>
    <xf numFmtId="168" fontId="9" fillId="2" borderId="1" xfId="4" applyNumberFormat="1" applyFont="1" applyAlignment="1"/>
    <xf numFmtId="2" fontId="8" fillId="7" borderId="7" xfId="0" applyNumberFormat="1" applyFont="1" applyFill="1" applyBorder="1" applyAlignment="1">
      <alignment horizontal="center" vertical="center"/>
    </xf>
    <xf numFmtId="0" fontId="8" fillId="7" borderId="2" xfId="0" applyFont="1" applyFill="1" applyBorder="1" applyAlignment="1">
      <alignment horizontal="left" vertical="center" wrapText="1"/>
    </xf>
    <xf numFmtId="0" fontId="8" fillId="7" borderId="2" xfId="0" applyFont="1" applyFill="1" applyBorder="1" applyAlignment="1">
      <alignment vertical="center" wrapText="1"/>
    </xf>
    <xf numFmtId="0" fontId="6" fillId="7" borderId="2" xfId="0" applyFont="1" applyFill="1" applyBorder="1" applyAlignment="1">
      <alignment horizontal="left" vertical="center"/>
    </xf>
    <xf numFmtId="2" fontId="6" fillId="7" borderId="7" xfId="0" applyNumberFormat="1" applyFont="1" applyFill="1" applyBorder="1" applyAlignment="1">
      <alignment horizontal="center" vertical="top"/>
    </xf>
    <xf numFmtId="0" fontId="8" fillId="7" borderId="2" xfId="0" applyFont="1" applyFill="1" applyBorder="1" applyAlignment="1">
      <alignment horizontal="left" vertical="center"/>
    </xf>
    <xf numFmtId="0" fontId="8" fillId="7" borderId="2" xfId="0" applyFont="1" applyFill="1" applyBorder="1" applyAlignment="1">
      <alignment vertical="center"/>
    </xf>
    <xf numFmtId="0" fontId="13" fillId="7" borderId="2" xfId="0" applyFont="1" applyFill="1" applyBorder="1" applyAlignment="1">
      <alignment horizontal="center"/>
    </xf>
    <xf numFmtId="2" fontId="6" fillId="7" borderId="7" xfId="0" applyNumberFormat="1" applyFont="1" applyFill="1" applyBorder="1" applyAlignment="1">
      <alignment horizontal="center" vertical="center"/>
    </xf>
    <xf numFmtId="0" fontId="8" fillId="7" borderId="2" xfId="0" applyFont="1" applyFill="1" applyBorder="1" applyAlignment="1">
      <alignment horizontal="center" vertical="center"/>
    </xf>
    <xf numFmtId="165" fontId="8" fillId="7" borderId="2" xfId="1" applyFont="1" applyFill="1" applyBorder="1" applyAlignment="1">
      <alignment vertical="center"/>
    </xf>
    <xf numFmtId="165" fontId="8" fillId="7" borderId="9" xfId="1" applyFont="1" applyFill="1" applyBorder="1" applyAlignment="1">
      <alignment vertical="center"/>
    </xf>
    <xf numFmtId="165" fontId="9" fillId="2" borderId="14" xfId="4" applyNumberFormat="1" applyFont="1" applyBorder="1" applyAlignment="1"/>
    <xf numFmtId="2" fontId="9" fillId="2" borderId="14" xfId="4" applyNumberFormat="1" applyFont="1" applyBorder="1" applyAlignment="1">
      <alignment horizontal="right"/>
    </xf>
    <xf numFmtId="10" fontId="9" fillId="2" borderId="14" xfId="4" applyNumberFormat="1" applyFont="1" applyBorder="1" applyAlignment="1"/>
    <xf numFmtId="0" fontId="11" fillId="4" borderId="10" xfId="6" applyFont="1" applyBorder="1" applyAlignment="1">
      <alignment horizontal="center"/>
    </xf>
    <xf numFmtId="165" fontId="11" fillId="4" borderId="15" xfId="6" applyNumberFormat="1" applyFont="1" applyBorder="1" applyAlignment="1"/>
    <xf numFmtId="165" fontId="9" fillId="2" borderId="2" xfId="4" applyNumberFormat="1" applyFont="1" applyBorder="1" applyAlignment="1"/>
    <xf numFmtId="169" fontId="10" fillId="4" borderId="2" xfId="6" applyNumberFormat="1" applyFont="1" applyBorder="1" applyAlignment="1"/>
    <xf numFmtId="165" fontId="10" fillId="4" borderId="2" xfId="6" applyNumberFormat="1" applyFont="1" applyBorder="1" applyAlignment="1"/>
    <xf numFmtId="0" fontId="6" fillId="0" borderId="0" xfId="0" applyFont="1" applyAlignment="1">
      <alignment vertical="center"/>
    </xf>
    <xf numFmtId="165" fontId="6" fillId="0" borderId="0" xfId="1" applyFont="1" applyFill="1" applyBorder="1" applyAlignment="1"/>
    <xf numFmtId="0" fontId="0" fillId="0" borderId="0" xfId="0" applyAlignment="1">
      <alignment horizontal="center"/>
    </xf>
    <xf numFmtId="170" fontId="0" fillId="0" borderId="0" xfId="0" applyNumberFormat="1"/>
    <xf numFmtId="171" fontId="6" fillId="0" borderId="0" xfId="0" applyNumberFormat="1" applyFont="1" applyAlignment="1">
      <alignment horizontal="center"/>
    </xf>
    <xf numFmtId="4" fontId="6" fillId="0" borderId="0" xfId="1" applyNumberFormat="1" applyFont="1" applyBorder="1" applyAlignment="1">
      <alignment horizontal="center"/>
    </xf>
    <xf numFmtId="10" fontId="6" fillId="0" borderId="0" xfId="0" applyNumberFormat="1" applyFont="1" applyAlignment="1">
      <alignment horizontal="center"/>
    </xf>
    <xf numFmtId="166" fontId="0" fillId="0" borderId="0" xfId="0" applyNumberFormat="1"/>
    <xf numFmtId="9" fontId="6" fillId="0" borderId="0" xfId="0" applyNumberFormat="1" applyFont="1" applyAlignment="1">
      <alignment horizontal="center"/>
    </xf>
    <xf numFmtId="10" fontId="6" fillId="0" borderId="0" xfId="3" applyNumberFormat="1" applyFont="1" applyBorder="1" applyAlignment="1">
      <alignment horizontal="center"/>
    </xf>
    <xf numFmtId="170" fontId="11" fillId="0" borderId="0" xfId="0" applyNumberFormat="1" applyFont="1"/>
    <xf numFmtId="0" fontId="11" fillId="0" borderId="0" xfId="0" applyFont="1" applyAlignment="1">
      <alignment horizontal="center"/>
    </xf>
    <xf numFmtId="0" fontId="14" fillId="0" borderId="0" xfId="0" applyFont="1"/>
    <xf numFmtId="9" fontId="14" fillId="0" borderId="0" xfId="0" applyNumberFormat="1" applyFont="1" applyAlignment="1">
      <alignment horizontal="center"/>
    </xf>
    <xf numFmtId="1" fontId="6" fillId="0" borderId="0" xfId="0" applyNumberFormat="1" applyFont="1" applyAlignment="1">
      <alignment horizontal="center"/>
    </xf>
    <xf numFmtId="165" fontId="6" fillId="0" borderId="0" xfId="0" applyNumberFormat="1" applyFont="1" applyAlignment="1">
      <alignment horizontal="center"/>
    </xf>
    <xf numFmtId="0" fontId="15" fillId="0" borderId="0" xfId="0" applyFont="1"/>
    <xf numFmtId="9" fontId="8" fillId="0" borderId="0" xfId="0" applyNumberFormat="1" applyFont="1" applyAlignment="1">
      <alignment horizontal="center"/>
    </xf>
    <xf numFmtId="0" fontId="16" fillId="0" borderId="0" xfId="0" applyFont="1" applyAlignment="1">
      <alignment horizontal="left"/>
    </xf>
    <xf numFmtId="9" fontId="6" fillId="0" borderId="0" xfId="3" applyFont="1" applyBorder="1" applyAlignment="1">
      <alignment horizontal="center"/>
    </xf>
    <xf numFmtId="40" fontId="0" fillId="0" borderId="0" xfId="0" applyNumberFormat="1"/>
    <xf numFmtId="2" fontId="11" fillId="0" borderId="0" xfId="0" applyNumberFormat="1" applyFont="1" applyAlignment="1">
      <alignment horizontal="center"/>
    </xf>
    <xf numFmtId="0" fontId="10" fillId="0" borderId="0" xfId="0" applyFont="1"/>
    <xf numFmtId="2" fontId="10" fillId="0" borderId="0" xfId="0" applyNumberFormat="1" applyFont="1" applyAlignment="1">
      <alignment horizontal="center"/>
    </xf>
    <xf numFmtId="172" fontId="6" fillId="0" borderId="0" xfId="0" applyNumberFormat="1" applyFont="1" applyAlignment="1">
      <alignment horizontal="center"/>
    </xf>
    <xf numFmtId="0" fontId="10" fillId="0" borderId="0" xfId="0" applyFont="1" applyAlignment="1">
      <alignment vertical="center" wrapText="1"/>
    </xf>
    <xf numFmtId="0" fontId="18" fillId="0" borderId="0" xfId="8" applyFont="1"/>
    <xf numFmtId="0" fontId="19" fillId="0" borderId="0" xfId="8" applyFont="1"/>
    <xf numFmtId="0" fontId="6" fillId="0" borderId="0" xfId="0" applyFont="1" applyAlignment="1">
      <alignment horizontal="left" wrapText="1"/>
    </xf>
    <xf numFmtId="0" fontId="19" fillId="0" borderId="0" xfId="8" applyFont="1" applyAlignment="1">
      <alignment vertical="center"/>
    </xf>
    <xf numFmtId="0" fontId="6" fillId="6" borderId="2" xfId="0" applyFont="1" applyFill="1" applyBorder="1" applyAlignment="1">
      <alignment horizontal="center" vertical="top"/>
    </xf>
    <xf numFmtId="0" fontId="6" fillId="6" borderId="2" xfId="0" applyFont="1" applyFill="1" applyBorder="1" applyAlignment="1">
      <alignment horizontal="center"/>
    </xf>
    <xf numFmtId="165" fontId="6" fillId="6" borderId="2" xfId="1" applyFont="1" applyFill="1" applyBorder="1" applyAlignment="1">
      <alignment horizontal="center"/>
    </xf>
    <xf numFmtId="165" fontId="6" fillId="10" borderId="2" xfId="1" applyFont="1" applyFill="1" applyBorder="1" applyAlignment="1">
      <alignment horizontal="center"/>
    </xf>
    <xf numFmtId="0" fontId="6" fillId="10" borderId="2" xfId="0" applyFont="1" applyFill="1" applyBorder="1" applyAlignment="1">
      <alignment horizontal="left" vertical="top"/>
    </xf>
    <xf numFmtId="0" fontId="6" fillId="10" borderId="2" xfId="0" applyFont="1" applyFill="1" applyBorder="1" applyAlignment="1">
      <alignment horizontal="center"/>
    </xf>
    <xf numFmtId="0" fontId="6" fillId="11" borderId="2" xfId="0" applyFont="1" applyFill="1" applyBorder="1" applyAlignment="1">
      <alignment horizontal="center"/>
    </xf>
    <xf numFmtId="165" fontId="6" fillId="11" borderId="2" xfId="1" applyFont="1" applyFill="1" applyBorder="1" applyAlignment="1">
      <alignment horizontal="center"/>
    </xf>
    <xf numFmtId="2" fontId="11" fillId="3" borderId="2" xfId="5" applyNumberFormat="1" applyFont="1" applyBorder="1" applyAlignment="1">
      <alignment horizontal="center" vertical="top"/>
    </xf>
    <xf numFmtId="0" fontId="11" fillId="3" borderId="2" xfId="5" applyFont="1" applyBorder="1"/>
    <xf numFmtId="0" fontId="11" fillId="3" borderId="2" xfId="5" applyFont="1" applyBorder="1" applyAlignment="1">
      <alignment vertical="center"/>
    </xf>
    <xf numFmtId="0" fontId="11" fillId="3" borderId="2" xfId="5" applyFont="1" applyBorder="1" applyAlignment="1">
      <alignment horizontal="center"/>
    </xf>
    <xf numFmtId="165" fontId="11" fillId="3" borderId="2" xfId="5" applyNumberFormat="1" applyFont="1" applyBorder="1"/>
    <xf numFmtId="43" fontId="11" fillId="4" borderId="2" xfId="6" applyNumberFormat="1" applyFont="1" applyBorder="1" applyAlignment="1">
      <alignment horizontal="right"/>
    </xf>
    <xf numFmtId="43" fontId="11" fillId="4" borderId="2" xfId="6" applyNumberFormat="1" applyFont="1" applyBorder="1"/>
    <xf numFmtId="0" fontId="11" fillId="5" borderId="2" xfId="7" applyFont="1" applyBorder="1"/>
    <xf numFmtId="0" fontId="11" fillId="3" borderId="2" xfId="5" applyFont="1" applyBorder="1" applyAlignment="1">
      <alignment wrapText="1"/>
    </xf>
    <xf numFmtId="0" fontId="11" fillId="3" borderId="2" xfId="5" applyFont="1" applyBorder="1" applyAlignment="1">
      <alignment horizontal="right"/>
    </xf>
    <xf numFmtId="165" fontId="11" fillId="3" borderId="2" xfId="5" applyNumberFormat="1" applyFont="1" applyBorder="1" applyAlignment="1">
      <alignment wrapText="1"/>
    </xf>
    <xf numFmtId="10" fontId="11" fillId="4" borderId="2" xfId="3" applyNumberFormat="1" applyFont="1" applyFill="1" applyBorder="1" applyAlignment="1"/>
    <xf numFmtId="4" fontId="11" fillId="5" borderId="2" xfId="7" applyNumberFormat="1" applyFont="1" applyBorder="1"/>
    <xf numFmtId="43" fontId="11" fillId="12" borderId="2" xfId="6" applyNumberFormat="1" applyFont="1" applyFill="1" applyBorder="1" applyAlignment="1">
      <alignment horizontal="right"/>
    </xf>
    <xf numFmtId="2" fontId="10" fillId="3" borderId="2" xfId="5" applyNumberFormat="1" applyFont="1" applyBorder="1" applyAlignment="1">
      <alignment horizontal="center" vertical="top"/>
    </xf>
    <xf numFmtId="0" fontId="10" fillId="3" borderId="2" xfId="5" applyFont="1" applyBorder="1" applyAlignment="1">
      <alignment wrapText="1"/>
    </xf>
    <xf numFmtId="173" fontId="11" fillId="3" borderId="2" xfId="5" applyNumberFormat="1" applyFont="1" applyBorder="1" applyAlignment="1">
      <alignment wrapText="1"/>
    </xf>
    <xf numFmtId="174" fontId="11" fillId="3" borderId="2" xfId="5" applyNumberFormat="1" applyFont="1" applyBorder="1" applyAlignment="1">
      <alignment wrapText="1"/>
    </xf>
    <xf numFmtId="43" fontId="10" fillId="4" borderId="2" xfId="6" applyNumberFormat="1" applyFont="1" applyBorder="1"/>
    <xf numFmtId="4" fontId="10" fillId="5" borderId="2" xfId="7" applyNumberFormat="1" applyFont="1" applyBorder="1"/>
    <xf numFmtId="43" fontId="10" fillId="12" borderId="2" xfId="6" applyNumberFormat="1" applyFont="1" applyFill="1" applyBorder="1" applyAlignment="1">
      <alignment horizontal="right"/>
    </xf>
    <xf numFmtId="2" fontId="10" fillId="3" borderId="2" xfId="5" applyNumberFormat="1" applyFont="1" applyBorder="1" applyAlignment="1">
      <alignment horizontal="center"/>
    </xf>
    <xf numFmtId="165" fontId="11" fillId="3" borderId="2" xfId="5" applyNumberFormat="1" applyFont="1" applyBorder="1" applyAlignment="1">
      <alignment horizontal="right"/>
    </xf>
    <xf numFmtId="4" fontId="11" fillId="3" borderId="2" xfId="5" applyNumberFormat="1" applyFont="1" applyBorder="1" applyAlignment="1">
      <alignment wrapText="1"/>
    </xf>
    <xf numFmtId="43" fontId="11" fillId="4" borderId="2" xfId="6" applyNumberFormat="1" applyFont="1" applyBorder="1" applyAlignment="1"/>
    <xf numFmtId="4" fontId="11" fillId="5" borderId="2" xfId="7" applyNumberFormat="1" applyFont="1" applyBorder="1" applyAlignment="1">
      <alignment wrapText="1"/>
    </xf>
    <xf numFmtId="165" fontId="8" fillId="9" borderId="2" xfId="1" applyFont="1" applyFill="1" applyBorder="1"/>
    <xf numFmtId="0" fontId="10" fillId="3" borderId="2" xfId="5" applyFont="1" applyBorder="1" applyAlignment="1">
      <alignment vertical="center" wrapText="1"/>
    </xf>
    <xf numFmtId="4" fontId="10" fillId="3" borderId="2" xfId="5" applyNumberFormat="1" applyFont="1" applyBorder="1" applyAlignment="1">
      <alignment wrapText="1"/>
    </xf>
    <xf numFmtId="2" fontId="11" fillId="3" borderId="2" xfId="5" applyNumberFormat="1" applyFont="1" applyBorder="1" applyAlignment="1">
      <alignment horizontal="center"/>
    </xf>
    <xf numFmtId="0" fontId="11" fillId="3" borderId="2" xfId="5" applyFont="1" applyBorder="1" applyAlignment="1">
      <alignment horizontal="left" wrapText="1"/>
    </xf>
    <xf numFmtId="4" fontId="11" fillId="3" borderId="2" xfId="5" applyNumberFormat="1" applyFont="1" applyBorder="1"/>
    <xf numFmtId="175" fontId="11" fillId="4" borderId="2" xfId="6" applyNumberFormat="1" applyFont="1" applyBorder="1"/>
    <xf numFmtId="0" fontId="8" fillId="9" borderId="2" xfId="8" applyFont="1" applyFill="1" applyBorder="1"/>
    <xf numFmtId="176" fontId="8" fillId="9" borderId="2" xfId="8" applyNumberFormat="1" applyFont="1" applyFill="1" applyBorder="1"/>
    <xf numFmtId="4" fontId="11" fillId="3" borderId="2" xfId="5" applyNumberFormat="1" applyFont="1" applyBorder="1" applyAlignment="1">
      <alignment horizontal="right"/>
    </xf>
    <xf numFmtId="176" fontId="8" fillId="9" borderId="0" xfId="8" applyNumberFormat="1" applyFont="1" applyFill="1"/>
    <xf numFmtId="2" fontId="11" fillId="3" borderId="2" xfId="5" applyNumberFormat="1" applyFont="1" applyBorder="1" applyAlignment="1">
      <alignment horizontal="center" vertical="center"/>
    </xf>
    <xf numFmtId="2" fontId="10" fillId="3" borderId="2" xfId="5" applyNumberFormat="1" applyFont="1" applyBorder="1" applyAlignment="1">
      <alignment horizontal="center" vertical="center"/>
    </xf>
    <xf numFmtId="165" fontId="11" fillId="3" borderId="2" xfId="5" applyNumberFormat="1" applyFont="1" applyBorder="1" applyAlignment="1">
      <alignment horizontal="center"/>
    </xf>
    <xf numFmtId="0" fontId="10" fillId="3" borderId="2" xfId="5" applyFont="1" applyBorder="1" applyAlignment="1">
      <alignment horizontal="left" wrapText="1"/>
    </xf>
    <xf numFmtId="2" fontId="11" fillId="3" borderId="2" xfId="5" applyNumberFormat="1" applyFont="1" applyBorder="1" applyAlignment="1">
      <alignment horizontal="right" wrapText="1"/>
    </xf>
    <xf numFmtId="0" fontId="11" fillId="3" borderId="2" xfId="5" applyFont="1" applyBorder="1" applyAlignment="1">
      <alignment horizontal="right" wrapText="1"/>
    </xf>
    <xf numFmtId="2" fontId="11" fillId="3" borderId="2" xfId="5" applyNumberFormat="1" applyFont="1" applyBorder="1" applyAlignment="1">
      <alignment horizontal="right" vertical="center" wrapText="1"/>
    </xf>
    <xf numFmtId="0" fontId="11" fillId="3" borderId="2" xfId="5" applyFont="1" applyBorder="1" applyAlignment="1">
      <alignment horizontal="center" vertical="center" wrapText="1"/>
    </xf>
    <xf numFmtId="4" fontId="11" fillId="3" borderId="2" xfId="5" applyNumberFormat="1" applyFont="1" applyBorder="1" applyAlignment="1">
      <alignment horizontal="right" vertical="center" wrapText="1"/>
    </xf>
    <xf numFmtId="165" fontId="11" fillId="3" borderId="2" xfId="5" applyNumberFormat="1" applyFont="1" applyBorder="1" applyAlignment="1">
      <alignment vertical="center" wrapText="1"/>
    </xf>
    <xf numFmtId="0" fontId="11" fillId="3" borderId="2" xfId="5" applyFont="1" applyBorder="1" applyAlignment="1">
      <alignment horizontal="center" wrapText="1"/>
    </xf>
    <xf numFmtId="0" fontId="10" fillId="3" borderId="2" xfId="5" applyFont="1" applyBorder="1" applyAlignment="1">
      <alignment horizontal="left" vertical="top" wrapText="1"/>
    </xf>
    <xf numFmtId="174" fontId="10" fillId="4" borderId="2" xfId="6" applyNumberFormat="1" applyFont="1" applyBorder="1" applyAlignment="1">
      <alignment horizontal="right"/>
    </xf>
    <xf numFmtId="174" fontId="10" fillId="4" borderId="2" xfId="6" applyNumberFormat="1" applyFont="1" applyBorder="1"/>
    <xf numFmtId="174" fontId="10" fillId="5" borderId="2" xfId="7" applyNumberFormat="1" applyFont="1" applyBorder="1"/>
    <xf numFmtId="176" fontId="11" fillId="4" borderId="2" xfId="6" applyNumberFormat="1" applyFont="1" applyBorder="1"/>
    <xf numFmtId="4" fontId="11" fillId="4" borderId="2" xfId="6" applyNumberFormat="1" applyFont="1" applyBorder="1"/>
    <xf numFmtId="4" fontId="11" fillId="3" borderId="2" xfId="5" applyNumberFormat="1" applyFont="1" applyBorder="1" applyAlignment="1">
      <alignment horizontal="right" vertical="center"/>
    </xf>
    <xf numFmtId="4" fontId="11" fillId="12" borderId="2" xfId="6" applyNumberFormat="1" applyFont="1" applyFill="1" applyBorder="1" applyAlignment="1">
      <alignment horizontal="right"/>
    </xf>
    <xf numFmtId="4" fontId="6" fillId="0" borderId="0" xfId="0" applyNumberFormat="1" applyFont="1"/>
    <xf numFmtId="0" fontId="11" fillId="3" borderId="2" xfId="5" applyFont="1" applyBorder="1" applyAlignment="1">
      <alignment horizontal="right" vertical="center"/>
    </xf>
    <xf numFmtId="2" fontId="11" fillId="3" borderId="2" xfId="5" applyNumberFormat="1" applyFont="1" applyBorder="1" applyAlignment="1">
      <alignment horizontal="left" vertical="top"/>
    </xf>
    <xf numFmtId="4" fontId="10" fillId="3" borderId="2" xfId="5" applyNumberFormat="1" applyFont="1" applyBorder="1" applyAlignment="1">
      <alignment horizontal="right" vertical="center"/>
    </xf>
    <xf numFmtId="2" fontId="20" fillId="0" borderId="0" xfId="8" applyNumberFormat="1" applyFont="1" applyAlignment="1">
      <alignment horizontal="center" vertical="center"/>
    </xf>
    <xf numFmtId="0" fontId="19" fillId="0" borderId="0" xfId="8" applyFont="1" applyAlignment="1">
      <alignment horizontal="center"/>
    </xf>
    <xf numFmtId="4" fontId="6" fillId="0" borderId="0" xfId="8" applyNumberFormat="1" applyFont="1" applyAlignment="1">
      <alignment horizontal="right" vertical="center"/>
    </xf>
    <xf numFmtId="165" fontId="8" fillId="0" borderId="0" xfId="1" applyFont="1" applyFill="1" applyBorder="1" applyAlignment="1">
      <alignment horizontal="right"/>
    </xf>
    <xf numFmtId="43" fontId="11" fillId="0" borderId="0" xfId="6" applyNumberFormat="1" applyFont="1" applyFill="1" applyBorder="1" applyAlignment="1">
      <alignment horizontal="right"/>
    </xf>
    <xf numFmtId="10" fontId="11" fillId="0" borderId="0" xfId="3" applyNumberFormat="1" applyFont="1" applyFill="1" applyBorder="1" applyAlignment="1"/>
    <xf numFmtId="4" fontId="6" fillId="0" borderId="0" xfId="8" applyNumberFormat="1" applyFont="1"/>
    <xf numFmtId="0" fontId="6" fillId="0" borderId="0" xfId="8" applyFont="1"/>
    <xf numFmtId="0" fontId="11" fillId="13" borderId="0" xfId="0" applyFont="1" applyFill="1" applyAlignment="1">
      <alignment horizontal="center"/>
    </xf>
    <xf numFmtId="2" fontId="10" fillId="12" borderId="2" xfId="5" applyNumberFormat="1" applyFont="1" applyFill="1" applyBorder="1" applyAlignment="1">
      <alignment horizontal="center"/>
    </xf>
    <xf numFmtId="0" fontId="6" fillId="12" borderId="2" xfId="0" applyFont="1" applyFill="1" applyBorder="1" applyAlignment="1">
      <alignment wrapText="1"/>
    </xf>
    <xf numFmtId="0" fontId="8" fillId="12" borderId="2" xfId="0" applyFont="1" applyFill="1" applyBorder="1" applyAlignment="1">
      <alignment horizontal="center"/>
    </xf>
    <xf numFmtId="165" fontId="8" fillId="12" borderId="2" xfId="1" applyFont="1" applyFill="1" applyBorder="1"/>
    <xf numFmtId="165" fontId="8" fillId="12" borderId="2" xfId="1" applyFont="1" applyFill="1" applyBorder="1" applyAlignment="1">
      <alignment wrapText="1"/>
    </xf>
    <xf numFmtId="2" fontId="8" fillId="9" borderId="2" xfId="0" applyNumberFormat="1" applyFont="1" applyFill="1" applyBorder="1" applyAlignment="1">
      <alignment horizontal="right"/>
    </xf>
    <xf numFmtId="168" fontId="8" fillId="9" borderId="2" xfId="1" applyNumberFormat="1" applyFont="1" applyFill="1" applyBorder="1" applyAlignment="1"/>
    <xf numFmtId="174" fontId="10" fillId="12" borderId="2" xfId="7" applyNumberFormat="1" applyFont="1" applyFill="1" applyBorder="1"/>
    <xf numFmtId="4" fontId="10" fillId="12" borderId="2" xfId="7" applyNumberFormat="1" applyFont="1" applyFill="1" applyBorder="1"/>
    <xf numFmtId="2" fontId="11" fillId="12" borderId="2" xfId="5" applyNumberFormat="1" applyFont="1" applyFill="1" applyBorder="1" applyAlignment="1">
      <alignment horizontal="center" vertical="center"/>
    </xf>
    <xf numFmtId="0" fontId="8" fillId="12" borderId="2" xfId="0" applyFont="1" applyFill="1" applyBorder="1" applyAlignment="1">
      <alignment wrapText="1"/>
    </xf>
    <xf numFmtId="4" fontId="11" fillId="12" borderId="2" xfId="5" applyNumberFormat="1" applyFont="1" applyFill="1" applyBorder="1" applyAlignment="1">
      <alignment wrapText="1"/>
    </xf>
    <xf numFmtId="43" fontId="11" fillId="9" borderId="2" xfId="6" applyNumberFormat="1" applyFont="1" applyFill="1" applyBorder="1" applyAlignment="1">
      <alignment horizontal="right"/>
    </xf>
    <xf numFmtId="10" fontId="11" fillId="9" borderId="2" xfId="3" applyNumberFormat="1" applyFont="1" applyFill="1" applyBorder="1" applyAlignment="1"/>
    <xf numFmtId="4" fontId="8" fillId="12" borderId="2" xfId="8" applyNumberFormat="1" applyFont="1" applyFill="1" applyBorder="1"/>
    <xf numFmtId="0" fontId="19" fillId="12" borderId="0" xfId="8" applyFont="1" applyFill="1" applyAlignment="1">
      <alignment horizontal="center"/>
    </xf>
    <xf numFmtId="0" fontId="6" fillId="12" borderId="10" xfId="0" applyFont="1" applyFill="1" applyBorder="1" applyAlignment="1">
      <alignment wrapText="1"/>
    </xf>
    <xf numFmtId="165" fontId="8" fillId="12" borderId="2" xfId="1" applyFont="1" applyFill="1" applyBorder="1" applyAlignment="1">
      <alignment horizontal="center"/>
    </xf>
    <xf numFmtId="174" fontId="6" fillId="12" borderId="2" xfId="1" applyNumberFormat="1" applyFont="1" applyFill="1" applyBorder="1" applyAlignment="1">
      <alignment wrapText="1"/>
    </xf>
    <xf numFmtId="165" fontId="8" fillId="9" borderId="2" xfId="3" applyNumberFormat="1" applyFont="1" applyFill="1" applyBorder="1" applyAlignment="1">
      <alignment horizontal="center"/>
    </xf>
    <xf numFmtId="4" fontId="6" fillId="12" borderId="2" xfId="8" applyNumberFormat="1" applyFont="1" applyFill="1" applyBorder="1"/>
    <xf numFmtId="0" fontId="10" fillId="12" borderId="2" xfId="5" applyFont="1" applyFill="1" applyBorder="1" applyAlignment="1">
      <alignment wrapText="1"/>
    </xf>
    <xf numFmtId="165" fontId="11" fillId="12" borderId="2" xfId="5" applyNumberFormat="1" applyFont="1" applyFill="1" applyBorder="1"/>
    <xf numFmtId="165" fontId="11" fillId="12" borderId="2" xfId="5" applyNumberFormat="1" applyFont="1" applyFill="1" applyBorder="1" applyAlignment="1">
      <alignment horizontal="right"/>
    </xf>
    <xf numFmtId="173" fontId="11" fillId="12" borderId="2" xfId="5" applyNumberFormat="1" applyFont="1" applyFill="1" applyBorder="1" applyAlignment="1">
      <alignment wrapText="1"/>
    </xf>
    <xf numFmtId="0" fontId="19" fillId="12" borderId="2" xfId="8" applyFont="1" applyFill="1" applyBorder="1"/>
    <xf numFmtId="2" fontId="11" fillId="12" borderId="2" xfId="5" applyNumberFormat="1" applyFont="1" applyFill="1" applyBorder="1" applyAlignment="1">
      <alignment horizontal="center" vertical="top"/>
    </xf>
    <xf numFmtId="0" fontId="11" fillId="12" borderId="2" xfId="5" applyFont="1" applyFill="1" applyBorder="1" applyAlignment="1">
      <alignment wrapText="1"/>
    </xf>
    <xf numFmtId="0" fontId="11" fillId="12" borderId="2" xfId="5" applyFont="1" applyFill="1" applyBorder="1" applyAlignment="1">
      <alignment horizontal="center"/>
    </xf>
    <xf numFmtId="165" fontId="11" fillId="12" borderId="2" xfId="5" applyNumberFormat="1" applyFont="1" applyFill="1" applyBorder="1" applyAlignment="1">
      <alignment wrapText="1"/>
    </xf>
    <xf numFmtId="39" fontId="11" fillId="9" borderId="2" xfId="6" applyNumberFormat="1" applyFont="1" applyFill="1" applyBorder="1" applyAlignment="1">
      <alignment horizontal="right"/>
    </xf>
    <xf numFmtId="39" fontId="11" fillId="12" borderId="2" xfId="6" applyNumberFormat="1" applyFont="1" applyFill="1" applyBorder="1" applyAlignment="1">
      <alignment horizontal="right"/>
    </xf>
    <xf numFmtId="2" fontId="10" fillId="12" borderId="2" xfId="5" applyNumberFormat="1" applyFont="1" applyFill="1" applyBorder="1" applyAlignment="1">
      <alignment horizontal="center" vertical="top"/>
    </xf>
    <xf numFmtId="0" fontId="10" fillId="12" borderId="2" xfId="5" applyFont="1" applyFill="1" applyBorder="1" applyAlignment="1">
      <alignment vertical="center" wrapText="1"/>
    </xf>
    <xf numFmtId="4" fontId="10" fillId="12" borderId="2" xfId="5" applyNumberFormat="1" applyFont="1" applyFill="1" applyBorder="1" applyAlignment="1">
      <alignment wrapText="1"/>
    </xf>
    <xf numFmtId="0" fontId="11" fillId="0" borderId="0" xfId="0" applyFont="1"/>
    <xf numFmtId="165" fontId="8" fillId="0" borderId="0" xfId="1" applyFont="1" applyFill="1" applyBorder="1" applyAlignment="1">
      <alignment horizontal="right" vertical="center"/>
    </xf>
    <xf numFmtId="165" fontId="8" fillId="0" borderId="0" xfId="1" applyFont="1" applyFill="1" applyBorder="1" applyAlignment="1">
      <alignment vertical="center"/>
    </xf>
    <xf numFmtId="165" fontId="8" fillId="0" borderId="0" xfId="1" applyFont="1" applyFill="1" applyBorder="1"/>
    <xf numFmtId="177" fontId="6" fillId="0" borderId="0" xfId="8" applyNumberFormat="1" applyFont="1"/>
    <xf numFmtId="165" fontId="11" fillId="0" borderId="0" xfId="1" applyFont="1" applyBorder="1"/>
    <xf numFmtId="165" fontId="1" fillId="0" borderId="0" xfId="1" applyBorder="1"/>
    <xf numFmtId="178" fontId="1" fillId="0" borderId="0" xfId="1" applyNumberFormat="1" applyBorder="1"/>
    <xf numFmtId="9" fontId="6" fillId="0" borderId="0" xfId="3" applyFont="1" applyBorder="1"/>
    <xf numFmtId="174" fontId="6" fillId="0" borderId="0" xfId="0" applyNumberFormat="1" applyFont="1" applyAlignment="1">
      <alignment horizontal="center"/>
    </xf>
    <xf numFmtId="174" fontId="6" fillId="0" borderId="0" xfId="0" applyNumberFormat="1" applyFont="1"/>
    <xf numFmtId="4" fontId="8" fillId="0" borderId="0" xfId="0" applyNumberFormat="1" applyFont="1"/>
    <xf numFmtId="4" fontId="0" fillId="0" borderId="0" xfId="0" applyNumberFormat="1"/>
    <xf numFmtId="4" fontId="6" fillId="0" borderId="0" xfId="1" applyNumberFormat="1" applyFont="1" applyBorder="1"/>
    <xf numFmtId="4" fontId="6" fillId="0" borderId="0" xfId="0" applyNumberFormat="1" applyFont="1" applyAlignment="1">
      <alignment horizontal="center"/>
    </xf>
    <xf numFmtId="4" fontId="14" fillId="0" borderId="0" xfId="1" applyNumberFormat="1" applyFont="1" applyBorder="1" applyAlignment="1">
      <alignment horizontal="center"/>
    </xf>
    <xf numFmtId="4" fontId="14" fillId="0" borderId="0" xfId="0" applyNumberFormat="1" applyFont="1" applyAlignment="1">
      <alignment horizontal="center"/>
    </xf>
    <xf numFmtId="174" fontId="6" fillId="0" borderId="0" xfId="1" applyNumberFormat="1" applyFont="1" applyBorder="1" applyAlignment="1">
      <alignment horizontal="center"/>
    </xf>
    <xf numFmtId="174" fontId="6" fillId="0" borderId="0" xfId="1" applyNumberFormat="1" applyFont="1" applyBorder="1"/>
    <xf numFmtId="174" fontId="10" fillId="0" borderId="0" xfId="1" applyNumberFormat="1" applyFont="1" applyBorder="1" applyAlignment="1">
      <alignment horizontal="center"/>
    </xf>
    <xf numFmtId="171" fontId="14" fillId="0" borderId="0" xfId="0" applyNumberFormat="1" applyFont="1" applyAlignment="1">
      <alignment horizontal="center"/>
    </xf>
    <xf numFmtId="0" fontId="14" fillId="0" borderId="0" xfId="0" applyFont="1" applyAlignment="1">
      <alignment horizontal="center"/>
    </xf>
    <xf numFmtId="174" fontId="8" fillId="0" borderId="0" xfId="1" applyNumberFormat="1" applyFont="1" applyBorder="1"/>
    <xf numFmtId="4" fontId="8" fillId="0" borderId="0" xfId="0" applyNumberFormat="1" applyFont="1" applyAlignment="1">
      <alignment horizontal="center"/>
    </xf>
    <xf numFmtId="4" fontId="14" fillId="0" borderId="0" xfId="1" applyNumberFormat="1" applyFont="1" applyBorder="1"/>
    <xf numFmtId="174" fontId="10" fillId="0" borderId="0" xfId="0" applyNumberFormat="1" applyFont="1" applyAlignment="1">
      <alignment horizontal="center"/>
    </xf>
    <xf numFmtId="179" fontId="0" fillId="0" borderId="0" xfId="0" applyNumberFormat="1"/>
    <xf numFmtId="177" fontId="14" fillId="0" borderId="0" xfId="1" applyNumberFormat="1" applyFont="1" applyBorder="1"/>
    <xf numFmtId="177" fontId="8" fillId="0" borderId="0" xfId="0" applyNumberFormat="1" applyFont="1"/>
    <xf numFmtId="177" fontId="8" fillId="0" borderId="0" xfId="0" applyNumberFormat="1" applyFont="1" applyAlignment="1">
      <alignment horizontal="center"/>
    </xf>
    <xf numFmtId="177" fontId="14" fillId="0" borderId="0" xfId="0" applyNumberFormat="1" applyFont="1" applyAlignment="1">
      <alignment horizontal="center"/>
    </xf>
    <xf numFmtId="178" fontId="14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2" fontId="10" fillId="5" borderId="2" xfId="7" applyNumberFormat="1" applyFont="1" applyBorder="1" applyAlignment="1">
      <alignment horizontal="center" vertical="top"/>
    </xf>
    <xf numFmtId="0" fontId="10" fillId="5" borderId="2" xfId="7" applyFont="1" applyBorder="1"/>
    <xf numFmtId="0" fontId="11" fillId="5" borderId="2" xfId="7" applyFont="1" applyBorder="1" applyAlignment="1">
      <alignment vertical="center"/>
    </xf>
    <xf numFmtId="0" fontId="11" fillId="5" borderId="2" xfId="7" applyFont="1" applyBorder="1" applyAlignment="1">
      <alignment horizontal="center"/>
    </xf>
    <xf numFmtId="165" fontId="11" fillId="5" borderId="2" xfId="7" applyNumberFormat="1" applyFont="1" applyBorder="1"/>
    <xf numFmtId="2" fontId="11" fillId="5" borderId="2" xfId="7" applyNumberFormat="1" applyFont="1" applyBorder="1" applyAlignment="1">
      <alignment horizontal="center" vertical="top"/>
    </xf>
    <xf numFmtId="0" fontId="11" fillId="5" borderId="2" xfId="7" applyFont="1" applyBorder="1" applyAlignment="1">
      <alignment wrapText="1"/>
    </xf>
    <xf numFmtId="0" fontId="11" fillId="5" borderId="2" xfId="7" applyFont="1" applyBorder="1" applyAlignment="1">
      <alignment horizontal="right"/>
    </xf>
    <xf numFmtId="165" fontId="11" fillId="5" borderId="2" xfId="7" applyNumberFormat="1" applyFont="1" applyBorder="1" applyAlignment="1">
      <alignment wrapText="1"/>
    </xf>
    <xf numFmtId="4" fontId="11" fillId="0" borderId="0" xfId="0" applyNumberFormat="1" applyFont="1"/>
    <xf numFmtId="0" fontId="10" fillId="5" borderId="2" xfId="7" applyFont="1" applyBorder="1" applyAlignment="1">
      <alignment wrapText="1"/>
    </xf>
    <xf numFmtId="173" fontId="11" fillId="5" borderId="2" xfId="7" applyNumberFormat="1" applyFont="1" applyBorder="1" applyAlignment="1">
      <alignment wrapText="1"/>
    </xf>
    <xf numFmtId="174" fontId="10" fillId="5" borderId="2" xfId="7" applyNumberFormat="1" applyFont="1" applyBorder="1" applyAlignment="1">
      <alignment wrapText="1"/>
    </xf>
    <xf numFmtId="2" fontId="10" fillId="5" borderId="2" xfId="7" applyNumberFormat="1" applyFont="1" applyBorder="1" applyAlignment="1">
      <alignment horizontal="center"/>
    </xf>
    <xf numFmtId="0" fontId="10" fillId="5" borderId="2" xfId="7" applyFont="1" applyBorder="1" applyAlignment="1"/>
    <xf numFmtId="173" fontId="11" fillId="5" borderId="2" xfId="7" applyNumberFormat="1" applyFont="1" applyBorder="1" applyAlignment="1"/>
    <xf numFmtId="4" fontId="11" fillId="5" borderId="2" xfId="7" applyNumberFormat="1" applyFont="1" applyBorder="1" applyAlignment="1"/>
    <xf numFmtId="0" fontId="11" fillId="5" borderId="2" xfId="7" applyFont="1" applyBorder="1" applyAlignment="1">
      <alignment horizontal="left"/>
    </xf>
    <xf numFmtId="165" fontId="11" fillId="5" borderId="2" xfId="7" applyNumberFormat="1" applyFont="1" applyBorder="1" applyAlignment="1"/>
    <xf numFmtId="0" fontId="11" fillId="5" borderId="2" xfId="7" applyFont="1" applyBorder="1" applyAlignment="1"/>
    <xf numFmtId="4" fontId="11" fillId="5" borderId="2" xfId="7" applyNumberFormat="1" applyFont="1" applyBorder="1" applyAlignment="1">
      <alignment horizontal="right"/>
    </xf>
    <xf numFmtId="165" fontId="11" fillId="5" borderId="2" xfId="7" applyNumberFormat="1" applyFont="1" applyBorder="1" applyAlignment="1">
      <alignment horizontal="right"/>
    </xf>
    <xf numFmtId="4" fontId="10" fillId="5" borderId="2" xfId="7" applyNumberFormat="1" applyFont="1" applyBorder="1" applyAlignment="1"/>
    <xf numFmtId="2" fontId="11" fillId="5" borderId="2" xfId="7" applyNumberFormat="1" applyFont="1" applyBorder="1" applyAlignment="1">
      <alignment horizontal="center" vertical="center"/>
    </xf>
    <xf numFmtId="2" fontId="10" fillId="5" borderId="2" xfId="7" applyNumberFormat="1" applyFont="1" applyBorder="1" applyAlignment="1">
      <alignment horizontal="center" vertical="center"/>
    </xf>
    <xf numFmtId="165" fontId="11" fillId="5" borderId="2" xfId="7" applyNumberFormat="1" applyFont="1" applyBorder="1" applyAlignment="1">
      <alignment horizontal="center"/>
    </xf>
    <xf numFmtId="4" fontId="10" fillId="5" borderId="2" xfId="7" applyNumberFormat="1" applyFont="1" applyBorder="1" applyAlignment="1">
      <alignment wrapText="1"/>
    </xf>
    <xf numFmtId="0" fontId="10" fillId="5" borderId="2" xfId="7" applyFont="1" applyBorder="1" applyAlignment="1">
      <alignment horizontal="left" wrapText="1"/>
    </xf>
    <xf numFmtId="0" fontId="11" fillId="5" borderId="2" xfId="7" applyFont="1" applyBorder="1" applyAlignment="1">
      <alignment horizontal="right" wrapText="1"/>
    </xf>
    <xf numFmtId="2" fontId="11" fillId="5" borderId="2" xfId="7" applyNumberFormat="1" applyFont="1" applyBorder="1" applyAlignment="1">
      <alignment horizontal="right" wrapText="1"/>
    </xf>
    <xf numFmtId="0" fontId="11" fillId="5" borderId="2" xfId="7" applyFont="1" applyBorder="1" applyAlignment="1">
      <alignment horizontal="left" wrapText="1"/>
    </xf>
    <xf numFmtId="4" fontId="11" fillId="5" borderId="2" xfId="7" applyNumberFormat="1" applyFont="1" applyBorder="1" applyAlignment="1">
      <alignment horizontal="right" wrapText="1"/>
    </xf>
    <xf numFmtId="165" fontId="0" fillId="0" borderId="0" xfId="0" applyNumberFormat="1"/>
    <xf numFmtId="0" fontId="10" fillId="5" borderId="2" xfId="7" applyFont="1" applyBorder="1" applyAlignment="1">
      <alignment horizontal="left" vertical="top" wrapText="1"/>
    </xf>
    <xf numFmtId="174" fontId="11" fillId="5" borderId="2" xfId="7" applyNumberFormat="1" applyFont="1" applyBorder="1" applyAlignment="1">
      <alignment wrapText="1"/>
    </xf>
    <xf numFmtId="4" fontId="10" fillId="5" borderId="2" xfId="7" applyNumberFormat="1" applyFont="1" applyBorder="1" applyAlignment="1">
      <alignment horizontal="right" vertical="center"/>
    </xf>
    <xf numFmtId="4" fontId="11" fillId="5" borderId="2" xfId="7" applyNumberFormat="1" applyFont="1" applyBorder="1" applyAlignment="1">
      <alignment horizontal="right" vertical="center"/>
    </xf>
    <xf numFmtId="0" fontId="10" fillId="5" borderId="2" xfId="7" applyFont="1" applyBorder="1" applyAlignment="1">
      <alignment horizontal="left"/>
    </xf>
    <xf numFmtId="174" fontId="10" fillId="5" borderId="2" xfId="7" applyNumberFormat="1" applyFont="1" applyBorder="1" applyAlignment="1">
      <alignment horizontal="right" vertical="center"/>
    </xf>
    <xf numFmtId="0" fontId="19" fillId="0" borderId="0" xfId="8" applyFont="1" applyAlignment="1">
      <alignment horizontal="right" vertical="center"/>
    </xf>
    <xf numFmtId="4" fontId="0" fillId="0" borderId="0" xfId="0" applyNumberFormat="1" applyAlignment="1">
      <alignment horizontal="center"/>
    </xf>
    <xf numFmtId="173" fontId="8" fillId="0" borderId="0" xfId="1" applyNumberFormat="1" applyFont="1" applyFill="1" applyBorder="1" applyAlignment="1">
      <alignment wrapText="1"/>
    </xf>
    <xf numFmtId="0" fontId="21" fillId="0" borderId="0" xfId="0" applyFont="1" applyAlignment="1">
      <alignment horizontal="right" vertical="center"/>
    </xf>
    <xf numFmtId="2" fontId="21" fillId="0" borderId="0" xfId="0" applyNumberFormat="1" applyFont="1" applyAlignment="1">
      <alignment horizontal="center"/>
    </xf>
    <xf numFmtId="0" fontId="6" fillId="0" borderId="0" xfId="10" applyFont="1"/>
    <xf numFmtId="43" fontId="17" fillId="0" borderId="0" xfId="9" applyFont="1" applyFill="1" applyBorder="1"/>
    <xf numFmtId="165" fontId="23" fillId="0" borderId="0" xfId="11" applyFont="1" applyFill="1" applyBorder="1" applyAlignment="1">
      <alignment horizontal="right"/>
    </xf>
    <xf numFmtId="180" fontId="24" fillId="0" borderId="0" xfId="12" applyNumberFormat="1" applyFont="1" applyAlignment="1">
      <alignment horizontal="center"/>
    </xf>
    <xf numFmtId="0" fontId="25" fillId="0" borderId="0" xfId="0" applyFont="1" applyAlignment="1">
      <alignment horizontal="center"/>
    </xf>
    <xf numFmtId="165" fontId="6" fillId="0" borderId="0" xfId="1" applyFont="1" applyFill="1" applyBorder="1" applyAlignment="1">
      <alignment vertical="center"/>
    </xf>
    <xf numFmtId="174" fontId="14" fillId="0" borderId="0" xfId="1" applyNumberFormat="1" applyFont="1" applyBorder="1" applyAlignment="1">
      <alignment horizontal="center"/>
    </xf>
    <xf numFmtId="174" fontId="0" fillId="0" borderId="0" xfId="0" applyNumberFormat="1" applyAlignment="1">
      <alignment horizontal="center"/>
    </xf>
    <xf numFmtId="165" fontId="6" fillId="0" borderId="0" xfId="1" applyFont="1" applyFill="1" applyBorder="1" applyAlignment="1">
      <alignment horizontal="right" vertical="center"/>
    </xf>
    <xf numFmtId="174" fontId="0" fillId="0" borderId="0" xfId="0" applyNumberFormat="1"/>
    <xf numFmtId="0" fontId="17" fillId="0" borderId="0" xfId="12"/>
    <xf numFmtId="174" fontId="5" fillId="0" borderId="0" xfId="0" applyNumberFormat="1" applyFont="1"/>
    <xf numFmtId="174" fontId="10" fillId="0" borderId="0" xfId="0" applyNumberFormat="1" applyFont="1"/>
    <xf numFmtId="165" fontId="7" fillId="0" borderId="0" xfId="0" applyNumberFormat="1" applyFont="1" applyAlignment="1">
      <alignment horizontal="center"/>
    </xf>
    <xf numFmtId="165" fontId="8" fillId="0" borderId="0" xfId="0" applyNumberFormat="1" applyFont="1"/>
    <xf numFmtId="174" fontId="6" fillId="0" borderId="0" xfId="0" applyNumberFormat="1" applyFont="1" applyAlignment="1">
      <alignment horizontal="left"/>
    </xf>
    <xf numFmtId="0" fontId="6" fillId="6" borderId="18" xfId="0" applyFont="1" applyFill="1" applyBorder="1" applyAlignment="1">
      <alignment horizontal="center" vertical="top"/>
    </xf>
    <xf numFmtId="0" fontId="6" fillId="6" borderId="19" xfId="0" applyFont="1" applyFill="1" applyBorder="1" applyAlignment="1">
      <alignment horizontal="center"/>
    </xf>
    <xf numFmtId="165" fontId="6" fillId="6" borderId="19" xfId="1" applyFont="1" applyFill="1" applyBorder="1" applyAlignment="1">
      <alignment horizontal="center"/>
    </xf>
    <xf numFmtId="165" fontId="6" fillId="6" borderId="20" xfId="1" applyFont="1" applyFill="1" applyBorder="1" applyAlignment="1">
      <alignment horizontal="center"/>
    </xf>
    <xf numFmtId="165" fontId="6" fillId="10" borderId="5" xfId="1" applyFont="1" applyFill="1" applyBorder="1" applyAlignment="1">
      <alignment horizontal="center"/>
    </xf>
    <xf numFmtId="165" fontId="6" fillId="10" borderId="4" xfId="1" applyFont="1" applyFill="1" applyBorder="1" applyAlignment="1">
      <alignment horizontal="center"/>
    </xf>
    <xf numFmtId="0" fontId="6" fillId="10" borderId="4" xfId="0" applyFont="1" applyFill="1" applyBorder="1" applyAlignment="1">
      <alignment horizontal="left" vertical="top"/>
    </xf>
    <xf numFmtId="0" fontId="6" fillId="10" borderId="4" xfId="0" applyFont="1" applyFill="1" applyBorder="1" applyAlignment="1">
      <alignment horizontal="center"/>
    </xf>
    <xf numFmtId="165" fontId="6" fillId="16" borderId="4" xfId="0" applyNumberFormat="1" applyFont="1" applyFill="1" applyBorder="1" applyAlignment="1">
      <alignment horizontal="center"/>
    </xf>
    <xf numFmtId="165" fontId="6" fillId="16" borderId="4" xfId="1" applyFont="1" applyFill="1" applyBorder="1" applyAlignment="1">
      <alignment horizontal="center"/>
    </xf>
    <xf numFmtId="165" fontId="6" fillId="16" borderId="6" xfId="1" applyFont="1" applyFill="1" applyBorder="1" applyAlignment="1">
      <alignment horizontal="center"/>
    </xf>
    <xf numFmtId="2" fontId="6" fillId="7" borderId="2" xfId="0" applyNumberFormat="1" applyFont="1" applyFill="1" applyBorder="1" applyAlignment="1">
      <alignment horizontal="right" vertical="top"/>
    </xf>
    <xf numFmtId="0" fontId="0" fillId="7" borderId="2" xfId="0" applyFill="1" applyBorder="1"/>
    <xf numFmtId="165" fontId="8" fillId="17" borderId="2" xfId="1" applyFont="1" applyFill="1" applyBorder="1" applyAlignment="1"/>
    <xf numFmtId="0" fontId="6" fillId="17" borderId="2" xfId="0" applyFont="1" applyFill="1" applyBorder="1" applyAlignment="1">
      <alignment horizontal="left" vertical="top"/>
    </xf>
    <xf numFmtId="0" fontId="6" fillId="17" borderId="2" xfId="0" applyFont="1" applyFill="1" applyBorder="1"/>
    <xf numFmtId="165" fontId="8" fillId="16" borderId="2" xfId="0" applyNumberFormat="1" applyFont="1" applyFill="1" applyBorder="1" applyAlignment="1">
      <alignment horizontal="center"/>
    </xf>
    <xf numFmtId="165" fontId="8" fillId="16" borderId="2" xfId="1" applyFont="1" applyFill="1" applyBorder="1" applyAlignment="1"/>
    <xf numFmtId="165" fontId="8" fillId="16" borderId="8" xfId="1" applyFont="1" applyFill="1" applyBorder="1" applyAlignment="1"/>
    <xf numFmtId="2" fontId="8" fillId="7" borderId="2" xfId="0" applyNumberFormat="1" applyFont="1" applyFill="1" applyBorder="1" applyAlignment="1">
      <alignment horizontal="right" vertical="top"/>
    </xf>
    <xf numFmtId="0" fontId="8" fillId="7" borderId="2" xfId="0" applyFont="1" applyFill="1" applyBorder="1" applyAlignment="1">
      <alignment horizontal="right"/>
    </xf>
    <xf numFmtId="4" fontId="11" fillId="7" borderId="2" xfId="0" applyNumberFormat="1" applyFont="1" applyFill="1" applyBorder="1"/>
    <xf numFmtId="165" fontId="11" fillId="7" borderId="2" xfId="0" applyNumberFormat="1" applyFont="1" applyFill="1" applyBorder="1"/>
    <xf numFmtId="165" fontId="11" fillId="17" borderId="2" xfId="1" applyFont="1" applyFill="1" applyBorder="1" applyAlignment="1"/>
    <xf numFmtId="2" fontId="8" fillId="17" borderId="2" xfId="0" applyNumberFormat="1" applyFont="1" applyFill="1" applyBorder="1" applyAlignment="1">
      <alignment horizontal="right"/>
    </xf>
    <xf numFmtId="10" fontId="8" fillId="17" borderId="2" xfId="1" applyNumberFormat="1" applyFont="1" applyFill="1" applyBorder="1" applyAlignment="1"/>
    <xf numFmtId="165" fontId="11" fillId="16" borderId="2" xfId="0" applyNumberFormat="1" applyFont="1" applyFill="1" applyBorder="1"/>
    <xf numFmtId="4" fontId="8" fillId="16" borderId="8" xfId="1" applyNumberFormat="1" applyFont="1" applyFill="1" applyBorder="1" applyAlignment="1"/>
    <xf numFmtId="165" fontId="13" fillId="17" borderId="2" xfId="1" applyFont="1" applyFill="1" applyBorder="1" applyAlignment="1"/>
    <xf numFmtId="4" fontId="8" fillId="16" borderId="10" xfId="1" applyNumberFormat="1" applyFont="1" applyFill="1" applyBorder="1" applyAlignment="1"/>
    <xf numFmtId="0" fontId="11" fillId="7" borderId="2" xfId="0" applyFont="1" applyFill="1" applyBorder="1"/>
    <xf numFmtId="165" fontId="10" fillId="7" borderId="2" xfId="0" applyNumberFormat="1" applyFont="1" applyFill="1" applyBorder="1"/>
    <xf numFmtId="165" fontId="6" fillId="16" borderId="2" xfId="0" applyNumberFormat="1" applyFont="1" applyFill="1" applyBorder="1" applyAlignment="1">
      <alignment horizontal="center"/>
    </xf>
    <xf numFmtId="4" fontId="6" fillId="16" borderId="2" xfId="1" applyNumberFormat="1" applyFont="1" applyFill="1" applyBorder="1" applyAlignment="1"/>
    <xf numFmtId="4" fontId="6" fillId="16" borderId="8" xfId="1" applyNumberFormat="1" applyFont="1" applyFill="1" applyBorder="1" applyAlignment="1"/>
    <xf numFmtId="4" fontId="8" fillId="16" borderId="2" xfId="1" applyNumberFormat="1" applyFont="1" applyFill="1" applyBorder="1" applyAlignment="1"/>
    <xf numFmtId="0" fontId="11" fillId="7" borderId="2" xfId="0" applyFont="1" applyFill="1" applyBorder="1" applyAlignment="1">
      <alignment horizontal="right"/>
    </xf>
    <xf numFmtId="181" fontId="8" fillId="17" borderId="2" xfId="1" applyNumberFormat="1" applyFont="1" applyFill="1" applyBorder="1" applyAlignment="1"/>
    <xf numFmtId="0" fontId="11" fillId="17" borderId="0" xfId="0" applyFont="1" applyFill="1"/>
    <xf numFmtId="182" fontId="8" fillId="17" borderId="2" xfId="1" applyNumberFormat="1" applyFont="1" applyFill="1" applyBorder="1" applyAlignment="1"/>
    <xf numFmtId="39" fontId="8" fillId="17" borderId="2" xfId="1" applyNumberFormat="1" applyFont="1" applyFill="1" applyBorder="1" applyAlignment="1"/>
    <xf numFmtId="175" fontId="8" fillId="17" borderId="2" xfId="1" applyNumberFormat="1" applyFont="1" applyFill="1" applyBorder="1" applyAlignment="1"/>
    <xf numFmtId="183" fontId="8" fillId="17" borderId="2" xfId="1" applyNumberFormat="1" applyFont="1" applyFill="1" applyBorder="1" applyAlignment="1"/>
    <xf numFmtId="0" fontId="8" fillId="7" borderId="2" xfId="0" applyFont="1" applyFill="1" applyBorder="1" applyAlignment="1">
      <alignment horizontal="right" vertical="center"/>
    </xf>
    <xf numFmtId="4" fontId="11" fillId="7" borderId="2" xfId="0" applyNumberFormat="1" applyFont="1" applyFill="1" applyBorder="1" applyAlignment="1">
      <alignment horizontal="right"/>
    </xf>
    <xf numFmtId="165" fontId="8" fillId="7" borderId="2" xfId="1" applyFont="1" applyFill="1" applyBorder="1" applyAlignment="1">
      <alignment horizontal="right"/>
    </xf>
    <xf numFmtId="4" fontId="11" fillId="17" borderId="2" xfId="0" applyNumberFormat="1" applyFont="1" applyFill="1" applyBorder="1" applyAlignment="1">
      <alignment horizontal="right"/>
    </xf>
    <xf numFmtId="0" fontId="6" fillId="7" borderId="2" xfId="0" applyFont="1" applyFill="1" applyBorder="1" applyAlignment="1">
      <alignment vertical="center" wrapText="1"/>
    </xf>
    <xf numFmtId="165" fontId="8" fillId="7" borderId="2" xfId="1" applyFont="1" applyFill="1" applyBorder="1" applyAlignment="1">
      <alignment horizontal="right" vertical="center"/>
    </xf>
    <xf numFmtId="184" fontId="8" fillId="17" borderId="2" xfId="1" applyNumberFormat="1" applyFont="1" applyFill="1" applyBorder="1" applyAlignment="1"/>
    <xf numFmtId="165" fontId="6" fillId="7" borderId="2" xfId="1" applyFont="1" applyFill="1" applyBorder="1"/>
    <xf numFmtId="0" fontId="8" fillId="7" borderId="2" xfId="0" applyFont="1" applyFill="1" applyBorder="1" applyAlignment="1">
      <alignment horizontal="left"/>
    </xf>
    <xf numFmtId="165" fontId="8" fillId="17" borderId="2" xfId="1" applyFont="1" applyFill="1" applyBorder="1" applyAlignment="1">
      <alignment vertical="center"/>
    </xf>
    <xf numFmtId="4" fontId="11" fillId="7" borderId="2" xfId="0" applyNumberFormat="1" applyFont="1" applyFill="1" applyBorder="1" applyAlignment="1">
      <alignment horizontal="right" vertical="center"/>
    </xf>
    <xf numFmtId="165" fontId="11" fillId="7" borderId="2" xfId="0" applyNumberFormat="1" applyFont="1" applyFill="1" applyBorder="1" applyAlignment="1">
      <alignment vertical="center"/>
    </xf>
    <xf numFmtId="165" fontId="8" fillId="7" borderId="2" xfId="1" applyFont="1" applyFill="1" applyBorder="1" applyAlignment="1">
      <alignment horizontal="center" vertical="center"/>
    </xf>
    <xf numFmtId="2" fontId="8" fillId="7" borderId="2" xfId="0" applyNumberFormat="1" applyFont="1" applyFill="1" applyBorder="1" applyAlignment="1">
      <alignment horizontal="right" vertical="center"/>
    </xf>
    <xf numFmtId="0" fontId="6" fillId="7" borderId="2" xfId="0" applyFont="1" applyFill="1" applyBorder="1" applyAlignment="1">
      <alignment wrapText="1"/>
    </xf>
    <xf numFmtId="183" fontId="8" fillId="0" borderId="0" xfId="1" applyNumberFormat="1" applyFont="1" applyFill="1" applyBorder="1" applyAlignment="1"/>
    <xf numFmtId="4" fontId="11" fillId="17" borderId="2" xfId="0" applyNumberFormat="1" applyFont="1" applyFill="1" applyBorder="1"/>
    <xf numFmtId="4" fontId="8" fillId="7" borderId="2" xfId="1" applyNumberFormat="1" applyFont="1" applyFill="1" applyBorder="1" applyAlignment="1">
      <alignment horizontal="right" vertical="center"/>
    </xf>
    <xf numFmtId="165" fontId="6" fillId="7" borderId="2" xfId="0" applyNumberFormat="1" applyFont="1" applyFill="1" applyBorder="1"/>
    <xf numFmtId="4" fontId="8" fillId="7" borderId="2" xfId="1" applyNumberFormat="1" applyFont="1" applyFill="1" applyBorder="1" applyAlignment="1">
      <alignment horizontal="right"/>
    </xf>
    <xf numFmtId="4" fontId="8" fillId="7" borderId="2" xfId="0" applyNumberFormat="1" applyFont="1" applyFill="1" applyBorder="1" applyAlignment="1">
      <alignment horizontal="right"/>
    </xf>
    <xf numFmtId="4" fontId="8" fillId="17" borderId="2" xfId="0" applyNumberFormat="1" applyFont="1" applyFill="1" applyBorder="1" applyAlignment="1">
      <alignment horizontal="right"/>
    </xf>
    <xf numFmtId="0" fontId="10" fillId="7" borderId="2" xfId="0" applyFont="1" applyFill="1" applyBorder="1" applyAlignment="1">
      <alignment vertical="center" wrapText="1"/>
    </xf>
    <xf numFmtId="4" fontId="10" fillId="7" borderId="2" xfId="0" applyNumberFormat="1" applyFont="1" applyFill="1" applyBorder="1" applyAlignment="1">
      <alignment horizontal="center"/>
    </xf>
    <xf numFmtId="4" fontId="8" fillId="17" borderId="2" xfId="1" applyNumberFormat="1" applyFont="1" applyFill="1" applyBorder="1" applyAlignment="1">
      <alignment horizontal="right"/>
    </xf>
    <xf numFmtId="4" fontId="8" fillId="7" borderId="2" xfId="1" applyNumberFormat="1" applyFont="1" applyFill="1" applyBorder="1" applyAlignment="1"/>
    <xf numFmtId="4" fontId="8" fillId="17" borderId="2" xfId="1" applyNumberFormat="1" applyFont="1" applyFill="1" applyBorder="1" applyAlignment="1"/>
    <xf numFmtId="4" fontId="8" fillId="7" borderId="2" xfId="0" applyNumberFormat="1" applyFont="1" applyFill="1" applyBorder="1" applyAlignment="1">
      <alignment horizontal="center"/>
    </xf>
    <xf numFmtId="4" fontId="8" fillId="17" borderId="2" xfId="0" applyNumberFormat="1" applyFont="1" applyFill="1" applyBorder="1" applyAlignment="1">
      <alignment horizontal="center"/>
    </xf>
    <xf numFmtId="165" fontId="6" fillId="16" borderId="10" xfId="1" applyFont="1" applyFill="1" applyBorder="1" applyAlignment="1"/>
    <xf numFmtId="165" fontId="6" fillId="16" borderId="8" xfId="1" applyFont="1" applyFill="1" applyBorder="1" applyAlignment="1"/>
    <xf numFmtId="165" fontId="8" fillId="16" borderId="10" xfId="1" applyFont="1" applyFill="1" applyBorder="1" applyAlignment="1"/>
    <xf numFmtId="4" fontId="8" fillId="7" borderId="2" xfId="1" applyNumberFormat="1" applyFont="1" applyFill="1" applyBorder="1" applyAlignment="1">
      <alignment vertical="center"/>
    </xf>
    <xf numFmtId="165" fontId="6" fillId="16" borderId="2" xfId="1" applyFont="1" applyFill="1" applyBorder="1" applyAlignment="1"/>
    <xf numFmtId="0" fontId="10" fillId="7" borderId="2" xfId="0" applyFont="1" applyFill="1" applyBorder="1"/>
    <xf numFmtId="4" fontId="10" fillId="7" borderId="2" xfId="0" applyNumberFormat="1" applyFont="1" applyFill="1" applyBorder="1"/>
    <xf numFmtId="0" fontId="25" fillId="0" borderId="0" xfId="0" applyFont="1" applyAlignment="1">
      <alignment wrapText="1"/>
    </xf>
    <xf numFmtId="166" fontId="10" fillId="0" borderId="0" xfId="0" applyNumberFormat="1" applyFont="1"/>
    <xf numFmtId="165" fontId="8" fillId="0" borderId="0" xfId="1" applyFont="1" applyFill="1" applyBorder="1" applyAlignment="1"/>
    <xf numFmtId="165" fontId="11" fillId="0" borderId="0" xfId="0" applyNumberFormat="1" applyFont="1"/>
    <xf numFmtId="0" fontId="26" fillId="0" borderId="0" xfId="0" applyFont="1"/>
    <xf numFmtId="165" fontId="8" fillId="0" borderId="0" xfId="0" applyNumberFormat="1" applyFont="1" applyAlignment="1">
      <alignment horizontal="center"/>
    </xf>
    <xf numFmtId="0" fontId="11" fillId="17" borderId="2" xfId="0" applyFont="1" applyFill="1" applyBorder="1"/>
    <xf numFmtId="4" fontId="11" fillId="16" borderId="2" xfId="0" applyNumberFormat="1" applyFont="1" applyFill="1" applyBorder="1"/>
    <xf numFmtId="39" fontId="8" fillId="16" borderId="2" xfId="1" applyNumberFormat="1" applyFont="1" applyFill="1" applyBorder="1" applyAlignment="1"/>
    <xf numFmtId="165" fontId="10" fillId="16" borderId="2" xfId="0" applyNumberFormat="1" applyFont="1" applyFill="1" applyBorder="1"/>
    <xf numFmtId="39" fontId="8" fillId="16" borderId="8" xfId="1" applyNumberFormat="1" applyFont="1" applyFill="1" applyBorder="1" applyAlignment="1"/>
    <xf numFmtId="0" fontId="11" fillId="16" borderId="2" xfId="0" applyFont="1" applyFill="1" applyBorder="1"/>
    <xf numFmtId="165" fontId="8" fillId="7" borderId="10" xfId="1" applyFont="1" applyFill="1" applyBorder="1" applyAlignment="1"/>
    <xf numFmtId="4" fontId="10" fillId="16" borderId="2" xfId="0" applyNumberFormat="1" applyFont="1" applyFill="1" applyBorder="1"/>
    <xf numFmtId="0" fontId="11" fillId="0" borderId="2" xfId="0" applyFont="1" applyBorder="1"/>
    <xf numFmtId="0" fontId="0" fillId="17" borderId="2" xfId="0" applyFill="1" applyBorder="1"/>
    <xf numFmtId="0" fontId="17" fillId="0" borderId="0" xfId="8"/>
    <xf numFmtId="165" fontId="6" fillId="0" borderId="0" xfId="0" applyNumberFormat="1" applyFont="1"/>
    <xf numFmtId="0" fontId="6" fillId="0" borderId="0" xfId="0" applyFont="1" applyAlignment="1">
      <alignment wrapText="1"/>
    </xf>
    <xf numFmtId="4" fontId="8" fillId="0" borderId="0" xfId="1" applyNumberFormat="1" applyFont="1" applyBorder="1" applyAlignment="1"/>
    <xf numFmtId="171" fontId="27" fillId="0" borderId="0" xfId="0" applyNumberFormat="1" applyFont="1" applyAlignment="1">
      <alignment horizontal="center"/>
    </xf>
    <xf numFmtId="4" fontId="27" fillId="0" borderId="0" xfId="1" applyNumberFormat="1" applyFont="1" applyBorder="1" applyAlignment="1">
      <alignment horizontal="center"/>
    </xf>
    <xf numFmtId="0" fontId="8" fillId="0" borderId="0" xfId="0" applyFont="1" applyAlignment="1">
      <alignment horizontal="left" vertical="top"/>
    </xf>
    <xf numFmtId="178" fontId="6" fillId="0" borderId="0" xfId="0" applyNumberFormat="1" applyFont="1"/>
    <xf numFmtId="185" fontId="0" fillId="0" borderId="0" xfId="0" applyNumberFormat="1"/>
    <xf numFmtId="174" fontId="6" fillId="0" borderId="0" xfId="1" applyNumberFormat="1" applyFont="1" applyBorder="1" applyAlignment="1"/>
    <xf numFmtId="178" fontId="8" fillId="0" borderId="0" xfId="1" applyNumberFormat="1" applyFont="1" applyBorder="1" applyAlignment="1"/>
    <xf numFmtId="174" fontId="25" fillId="0" borderId="0" xfId="0" applyNumberFormat="1" applyFont="1" applyAlignment="1">
      <alignment horizontal="center"/>
    </xf>
    <xf numFmtId="186" fontId="0" fillId="0" borderId="0" xfId="0" applyNumberFormat="1"/>
    <xf numFmtId="187" fontId="0" fillId="0" borderId="0" xfId="0" applyNumberFormat="1"/>
    <xf numFmtId="172" fontId="6" fillId="0" borderId="0" xfId="0" applyNumberFormat="1" applyFont="1"/>
    <xf numFmtId="188" fontId="8" fillId="0" borderId="0" xfId="0" applyNumberFormat="1" applyFont="1"/>
    <xf numFmtId="0" fontId="28" fillId="0" borderId="0" xfId="0" applyFont="1" applyAlignment="1">
      <alignment horizontal="left"/>
    </xf>
    <xf numFmtId="175" fontId="8" fillId="0" borderId="0" xfId="0" applyNumberFormat="1" applyFont="1"/>
    <xf numFmtId="0" fontId="25" fillId="7" borderId="2" xfId="0" applyFont="1" applyFill="1" applyBorder="1" applyAlignment="1">
      <alignment horizontal="center"/>
    </xf>
    <xf numFmtId="0" fontId="25" fillId="7" borderId="2" xfId="0" applyFont="1" applyFill="1" applyBorder="1"/>
    <xf numFmtId="165" fontId="28" fillId="7" borderId="10" xfId="1" applyFont="1" applyFill="1" applyBorder="1" applyAlignment="1">
      <alignment horizontal="right" vertical="center"/>
    </xf>
    <xf numFmtId="165" fontId="28" fillId="7" borderId="10" xfId="1" applyFont="1" applyFill="1" applyBorder="1" applyAlignment="1">
      <alignment vertical="center"/>
    </xf>
    <xf numFmtId="4" fontId="29" fillId="7" borderId="2" xfId="0" applyNumberFormat="1" applyFont="1" applyFill="1" applyBorder="1" applyAlignment="1">
      <alignment horizontal="center"/>
    </xf>
    <xf numFmtId="0" fontId="29" fillId="7" borderId="2" xfId="0" applyFont="1" applyFill="1" applyBorder="1" applyAlignment="1">
      <alignment horizontal="center"/>
    </xf>
    <xf numFmtId="4" fontId="8" fillId="10" borderId="2" xfId="0" applyNumberFormat="1" applyFont="1" applyFill="1" applyBorder="1" applyAlignment="1">
      <alignment horizontal="right"/>
    </xf>
    <xf numFmtId="2" fontId="8" fillId="10" borderId="2" xfId="0" applyNumberFormat="1" applyFont="1" applyFill="1" applyBorder="1" applyAlignment="1">
      <alignment horizontal="right" vertical="center"/>
    </xf>
    <xf numFmtId="10" fontId="8" fillId="10" borderId="2" xfId="1" applyNumberFormat="1" applyFont="1" applyFill="1" applyBorder="1" applyAlignment="1">
      <alignment vertical="center"/>
    </xf>
    <xf numFmtId="4" fontId="8" fillId="11" borderId="2" xfId="0" applyNumberFormat="1" applyFont="1" applyFill="1" applyBorder="1" applyAlignment="1">
      <alignment horizontal="right"/>
    </xf>
    <xf numFmtId="4" fontId="8" fillId="11" borderId="2" xfId="1" applyNumberFormat="1" applyFont="1" applyFill="1" applyBorder="1" applyAlignment="1">
      <alignment horizontal="right"/>
    </xf>
    <xf numFmtId="0" fontId="11" fillId="7" borderId="2" xfId="0" applyFont="1" applyFill="1" applyBorder="1" applyAlignment="1">
      <alignment horizontal="center"/>
    </xf>
    <xf numFmtId="0" fontId="8" fillId="10" borderId="2" xfId="0" applyFont="1" applyFill="1" applyBorder="1" applyAlignment="1">
      <alignment horizontal="right"/>
    </xf>
    <xf numFmtId="0" fontId="8" fillId="10" borderId="2" xfId="0" applyFont="1" applyFill="1" applyBorder="1" applyAlignment="1">
      <alignment horizontal="center"/>
    </xf>
    <xf numFmtId="0" fontId="6" fillId="7" borderId="2" xfId="0" applyFont="1" applyFill="1" applyBorder="1" applyAlignment="1">
      <alignment horizontal="left" wrapText="1"/>
    </xf>
    <xf numFmtId="0" fontId="6" fillId="10" borderId="2" xfId="0" applyFont="1" applyFill="1" applyBorder="1" applyAlignment="1">
      <alignment horizontal="right"/>
    </xf>
    <xf numFmtId="4" fontId="6" fillId="11" borderId="2" xfId="0" applyNumberFormat="1" applyFont="1" applyFill="1" applyBorder="1" applyAlignment="1">
      <alignment horizontal="right"/>
    </xf>
    <xf numFmtId="4" fontId="6" fillId="11" borderId="2" xfId="1" applyNumberFormat="1" applyFont="1" applyFill="1" applyBorder="1" applyAlignment="1">
      <alignment horizontal="right"/>
    </xf>
    <xf numFmtId="0" fontId="10" fillId="7" borderId="2" xfId="0" applyFont="1" applyFill="1" applyBorder="1" applyAlignment="1">
      <alignment horizontal="center"/>
    </xf>
    <xf numFmtId="0" fontId="8" fillId="11" borderId="2" xfId="0" applyFont="1" applyFill="1" applyBorder="1" applyAlignment="1">
      <alignment horizontal="right"/>
    </xf>
    <xf numFmtId="165" fontId="8" fillId="11" borderId="2" xfId="1" applyFont="1" applyFill="1" applyBorder="1" applyAlignment="1">
      <alignment horizontal="right"/>
    </xf>
    <xf numFmtId="179" fontId="11" fillId="7" borderId="2" xfId="0" applyNumberFormat="1" applyFont="1" applyFill="1" applyBorder="1"/>
    <xf numFmtId="165" fontId="6" fillId="11" borderId="2" xfId="1" applyFont="1" applyFill="1" applyBorder="1" applyAlignment="1">
      <alignment horizontal="right"/>
    </xf>
    <xf numFmtId="187" fontId="11" fillId="7" borderId="2" xfId="0" applyNumberFormat="1" applyFont="1" applyFill="1" applyBorder="1"/>
    <xf numFmtId="179" fontId="8" fillId="10" borderId="2" xfId="0" applyNumberFormat="1" applyFont="1" applyFill="1" applyBorder="1" applyAlignment="1">
      <alignment horizontal="right"/>
    </xf>
    <xf numFmtId="189" fontId="8" fillId="10" borderId="2" xfId="0" applyNumberFormat="1" applyFont="1" applyFill="1" applyBorder="1" applyAlignment="1">
      <alignment horizontal="right" vertical="center"/>
    </xf>
    <xf numFmtId="176" fontId="11" fillId="7" borderId="2" xfId="0" applyNumberFormat="1" applyFont="1" applyFill="1" applyBorder="1"/>
    <xf numFmtId="0" fontId="11" fillId="7" borderId="9" xfId="0" applyFont="1" applyFill="1" applyBorder="1"/>
    <xf numFmtId="0" fontId="6" fillId="11" borderId="2" xfId="0" applyFont="1" applyFill="1" applyBorder="1" applyAlignment="1">
      <alignment horizontal="right"/>
    </xf>
    <xf numFmtId="4" fontId="8" fillId="7" borderId="2" xfId="0" applyNumberFormat="1" applyFont="1" applyFill="1" applyBorder="1"/>
    <xf numFmtId="0" fontId="11" fillId="10" borderId="0" xfId="0" applyFont="1" applyFill="1" applyAlignment="1">
      <alignment horizontal="right"/>
    </xf>
    <xf numFmtId="4" fontId="8" fillId="7" borderId="2" xfId="8" applyNumberFormat="1" applyFont="1" applyFill="1" applyBorder="1" applyAlignment="1">
      <alignment horizontal="right" vertical="center"/>
    </xf>
    <xf numFmtId="0" fontId="11" fillId="7" borderId="2" xfId="0" applyFont="1" applyFill="1" applyBorder="1" applyAlignment="1">
      <alignment wrapText="1"/>
    </xf>
    <xf numFmtId="0" fontId="11" fillId="7" borderId="2" xfId="0" applyFont="1" applyFill="1" applyBorder="1" applyAlignment="1">
      <alignment horizontal="right" vertical="center"/>
    </xf>
    <xf numFmtId="4" fontId="11" fillId="7" borderId="2" xfId="2" applyNumberFormat="1" applyFont="1" applyFill="1" applyBorder="1" applyAlignment="1">
      <alignment horizontal="right" vertical="center"/>
    </xf>
    <xf numFmtId="0" fontId="11" fillId="10" borderId="2" xfId="0" applyFont="1" applyFill="1" applyBorder="1" applyAlignment="1">
      <alignment horizontal="right"/>
    </xf>
    <xf numFmtId="2" fontId="8" fillId="10" borderId="2" xfId="0" applyNumberFormat="1" applyFont="1" applyFill="1" applyBorder="1" applyAlignment="1">
      <alignment horizontal="right"/>
    </xf>
    <xf numFmtId="10" fontId="8" fillId="10" borderId="2" xfId="1" applyNumberFormat="1" applyFont="1" applyFill="1" applyBorder="1" applyAlignment="1">
      <alignment horizontal="right"/>
    </xf>
    <xf numFmtId="0" fontId="30" fillId="7" borderId="0" xfId="0" applyFont="1" applyFill="1"/>
    <xf numFmtId="0" fontId="31" fillId="7" borderId="0" xfId="0" applyFont="1" applyFill="1"/>
    <xf numFmtId="39" fontId="11" fillId="7" borderId="2" xfId="2" applyNumberFormat="1" applyFont="1" applyFill="1" applyBorder="1" applyAlignment="1">
      <alignment horizontal="right"/>
    </xf>
    <xf numFmtId="0" fontId="11" fillId="10" borderId="2" xfId="0" applyFont="1" applyFill="1" applyBorder="1" applyAlignment="1">
      <alignment horizontal="center"/>
    </xf>
    <xf numFmtId="2" fontId="11" fillId="7" borderId="2" xfId="0" applyNumberFormat="1" applyFont="1" applyFill="1" applyBorder="1" applyAlignment="1">
      <alignment horizontal="center"/>
    </xf>
    <xf numFmtId="181" fontId="11" fillId="7" borderId="2" xfId="2" applyNumberFormat="1" applyFont="1" applyFill="1" applyBorder="1" applyAlignment="1">
      <alignment horizontal="right"/>
    </xf>
    <xf numFmtId="2" fontId="11" fillId="7" borderId="10" xfId="0" applyNumberFormat="1" applyFont="1" applyFill="1" applyBorder="1" applyAlignment="1">
      <alignment horizontal="center"/>
    </xf>
    <xf numFmtId="0" fontId="11" fillId="7" borderId="10" xfId="0" applyFont="1" applyFill="1" applyBorder="1"/>
    <xf numFmtId="0" fontId="11" fillId="7" borderId="10" xfId="0" applyFont="1" applyFill="1" applyBorder="1" applyAlignment="1">
      <alignment horizontal="center"/>
    </xf>
    <xf numFmtId="181" fontId="11" fillId="7" borderId="10" xfId="2" applyNumberFormat="1" applyFont="1" applyFill="1" applyBorder="1" applyAlignment="1">
      <alignment horizontal="right"/>
    </xf>
    <xf numFmtId="39" fontId="11" fillId="7" borderId="10" xfId="2" applyNumberFormat="1" applyFont="1" applyFill="1" applyBorder="1" applyAlignment="1">
      <alignment horizontal="right"/>
    </xf>
    <xf numFmtId="0" fontId="11" fillId="10" borderId="10" xfId="0" applyFont="1" applyFill="1" applyBorder="1" applyAlignment="1">
      <alignment horizontal="center"/>
    </xf>
    <xf numFmtId="0" fontId="6" fillId="7" borderId="21" xfId="0" applyFont="1" applyFill="1" applyBorder="1" applyAlignment="1">
      <alignment horizontal="left" wrapText="1"/>
    </xf>
    <xf numFmtId="0" fontId="6" fillId="7" borderId="10" xfId="0" applyFont="1" applyFill="1" applyBorder="1"/>
    <xf numFmtId="0" fontId="32" fillId="7" borderId="10" xfId="0" applyFont="1" applyFill="1" applyBorder="1"/>
    <xf numFmtId="39" fontId="6" fillId="7" borderId="10" xfId="2" applyNumberFormat="1" applyFont="1" applyFill="1" applyBorder="1" applyAlignment="1">
      <alignment horizontal="right"/>
    </xf>
    <xf numFmtId="0" fontId="6" fillId="7" borderId="2" xfId="0" applyFont="1" applyFill="1" applyBorder="1" applyAlignment="1">
      <alignment horizontal="center" vertical="center"/>
    </xf>
    <xf numFmtId="190" fontId="11" fillId="7" borderId="2" xfId="2" applyNumberFormat="1" applyFont="1" applyFill="1" applyBorder="1" applyAlignment="1">
      <alignment horizontal="right"/>
    </xf>
    <xf numFmtId="4" fontId="11" fillId="10" borderId="10" xfId="0" applyNumberFormat="1" applyFont="1" applyFill="1" applyBorder="1" applyAlignment="1">
      <alignment horizontal="right"/>
    </xf>
    <xf numFmtId="39" fontId="10" fillId="7" borderId="2" xfId="0" applyNumberFormat="1" applyFont="1" applyFill="1" applyBorder="1"/>
    <xf numFmtId="0" fontId="25" fillId="7" borderId="2" xfId="0" applyFont="1" applyFill="1" applyBorder="1" applyAlignment="1">
      <alignment wrapText="1"/>
    </xf>
    <xf numFmtId="165" fontId="28" fillId="7" borderId="2" xfId="1" applyFont="1" applyFill="1" applyBorder="1" applyAlignment="1">
      <alignment vertical="center"/>
    </xf>
    <xf numFmtId="4" fontId="8" fillId="10" borderId="2" xfId="0" applyNumberFormat="1" applyFont="1" applyFill="1" applyBorder="1" applyAlignment="1">
      <alignment horizontal="right" vertical="center"/>
    </xf>
    <xf numFmtId="4" fontId="8" fillId="11" borderId="9" xfId="1" applyNumberFormat="1" applyFont="1" applyFill="1" applyBorder="1" applyAlignment="1">
      <alignment horizontal="right"/>
    </xf>
    <xf numFmtId="0" fontId="25" fillId="0" borderId="0" xfId="0" applyFont="1"/>
    <xf numFmtId="165" fontId="28" fillId="0" borderId="0" xfId="1" applyFont="1" applyFill="1" applyBorder="1" applyAlignment="1">
      <alignment horizontal="right" vertical="center"/>
    </xf>
    <xf numFmtId="165" fontId="28" fillId="0" borderId="0" xfId="1" applyFont="1" applyFill="1" applyBorder="1" applyAlignment="1">
      <alignment vertical="center"/>
    </xf>
    <xf numFmtId="2" fontId="8" fillId="0" borderId="0" xfId="0" applyNumberFormat="1" applyFont="1" applyAlignment="1">
      <alignment horizontal="right" vertical="center"/>
    </xf>
    <xf numFmtId="168" fontId="8" fillId="0" borderId="0" xfId="1" applyNumberFormat="1" applyFont="1" applyFill="1" applyBorder="1" applyAlignment="1">
      <alignment vertical="center"/>
    </xf>
    <xf numFmtId="4" fontId="8" fillId="0" borderId="0" xfId="1" applyNumberFormat="1" applyFont="1" applyFill="1" applyBorder="1" applyAlignment="1">
      <alignment vertical="center"/>
    </xf>
    <xf numFmtId="10" fontId="8" fillId="0" borderId="0" xfId="1" applyNumberFormat="1" applyFont="1" applyFill="1" applyBorder="1" applyAlignment="1">
      <alignment vertical="center"/>
    </xf>
    <xf numFmtId="4" fontId="6" fillId="7" borderId="2" xfId="1" applyNumberFormat="1" applyFont="1" applyFill="1" applyBorder="1" applyAlignment="1">
      <alignment vertical="center"/>
    </xf>
    <xf numFmtId="4" fontId="6" fillId="10" borderId="2" xfId="0" applyNumberFormat="1" applyFont="1" applyFill="1" applyBorder="1" applyAlignment="1">
      <alignment horizontal="right"/>
    </xf>
    <xf numFmtId="0" fontId="11" fillId="0" borderId="0" xfId="0" applyFont="1" applyAlignment="1">
      <alignment horizontal="right"/>
    </xf>
    <xf numFmtId="0" fontId="10" fillId="7" borderId="17" xfId="0" applyFont="1" applyFill="1" applyBorder="1"/>
    <xf numFmtId="4" fontId="6" fillId="0" borderId="0" xfId="1" applyNumberFormat="1" applyFont="1" applyFill="1" applyBorder="1" applyAlignment="1">
      <alignment vertical="center"/>
    </xf>
    <xf numFmtId="0" fontId="11" fillId="7" borderId="17" xfId="0" applyFont="1" applyFill="1" applyBorder="1"/>
    <xf numFmtId="191" fontId="11" fillId="7" borderId="2" xfId="0" applyNumberFormat="1" applyFont="1" applyFill="1" applyBorder="1"/>
    <xf numFmtId="191" fontId="8" fillId="10" borderId="2" xfId="0" applyNumberFormat="1" applyFont="1" applyFill="1" applyBorder="1" applyAlignment="1">
      <alignment horizontal="right"/>
    </xf>
    <xf numFmtId="4" fontId="8" fillId="10" borderId="2" xfId="0" applyNumberFormat="1" applyFont="1" applyFill="1" applyBorder="1" applyAlignment="1">
      <alignment horizontal="center"/>
    </xf>
    <xf numFmtId="179" fontId="8" fillId="7" borderId="2" xfId="1" applyNumberFormat="1" applyFont="1" applyFill="1" applyBorder="1" applyAlignment="1">
      <alignment vertical="center"/>
    </xf>
    <xf numFmtId="4" fontId="10" fillId="0" borderId="0" xfId="0" applyNumberFormat="1" applyFont="1"/>
    <xf numFmtId="192" fontId="11" fillId="7" borderId="2" xfId="0" applyNumberFormat="1" applyFont="1" applyFill="1" applyBorder="1"/>
    <xf numFmtId="0" fontId="11" fillId="10" borderId="10" xfId="0" applyFont="1" applyFill="1" applyBorder="1" applyAlignment="1">
      <alignment horizontal="right"/>
    </xf>
    <xf numFmtId="4" fontId="6" fillId="11" borderId="9" xfId="1" applyNumberFormat="1" applyFont="1" applyFill="1" applyBorder="1" applyAlignment="1">
      <alignment horizontal="right"/>
    </xf>
    <xf numFmtId="4" fontId="11" fillId="7" borderId="9" xfId="0" applyNumberFormat="1" applyFont="1" applyFill="1" applyBorder="1"/>
    <xf numFmtId="165" fontId="6" fillId="11" borderId="9" xfId="1" applyFont="1" applyFill="1" applyBorder="1" applyAlignment="1">
      <alignment horizontal="right"/>
    </xf>
    <xf numFmtId="0" fontId="8" fillId="7" borderId="2" xfId="0" applyFont="1" applyFill="1" applyBorder="1" applyAlignment="1">
      <alignment horizontal="left" wrapText="1"/>
    </xf>
    <xf numFmtId="165" fontId="8" fillId="7" borderId="2" xfId="1" applyFont="1" applyFill="1" applyBorder="1" applyAlignment="1">
      <alignment horizontal="right" vertical="center" wrapText="1"/>
    </xf>
    <xf numFmtId="165" fontId="8" fillId="7" borderId="2" xfId="1" applyFont="1" applyFill="1" applyBorder="1" applyAlignment="1">
      <alignment vertical="center" wrapText="1"/>
    </xf>
    <xf numFmtId="190" fontId="8" fillId="7" borderId="2" xfId="1" applyNumberFormat="1" applyFont="1" applyFill="1" applyBorder="1" applyAlignment="1">
      <alignment horizontal="right" vertical="center" wrapText="1"/>
    </xf>
    <xf numFmtId="0" fontId="32" fillId="7" borderId="2" xfId="0" applyFont="1" applyFill="1" applyBorder="1"/>
    <xf numFmtId="39" fontId="6" fillId="7" borderId="2" xfId="2" applyNumberFormat="1" applyFont="1" applyFill="1" applyBorder="1" applyAlignment="1">
      <alignment horizontal="right"/>
    </xf>
    <xf numFmtId="165" fontId="8" fillId="7" borderId="17" xfId="1" applyFont="1" applyFill="1" applyBorder="1" applyAlignment="1">
      <alignment horizontal="right" vertical="center"/>
    </xf>
    <xf numFmtId="4" fontId="11" fillId="7" borderId="2" xfId="2" applyNumberFormat="1" applyFont="1" applyFill="1" applyBorder="1" applyAlignment="1">
      <alignment horizontal="right"/>
    </xf>
    <xf numFmtId="4" fontId="11" fillId="10" borderId="2" xfId="0" applyNumberFormat="1" applyFont="1" applyFill="1" applyBorder="1" applyAlignment="1">
      <alignment horizontal="right"/>
    </xf>
    <xf numFmtId="4" fontId="6" fillId="10" borderId="2" xfId="0" applyNumberFormat="1" applyFont="1" applyFill="1" applyBorder="1" applyAlignment="1">
      <alignment horizontal="center"/>
    </xf>
    <xf numFmtId="165" fontId="6" fillId="7" borderId="2" xfId="1" applyFont="1" applyFill="1" applyBorder="1" applyAlignment="1">
      <alignment horizontal="right" vertical="center"/>
    </xf>
    <xf numFmtId="0" fontId="33" fillId="7" borderId="2" xfId="0" applyFont="1" applyFill="1" applyBorder="1" applyAlignment="1">
      <alignment horizontal="center"/>
    </xf>
    <xf numFmtId="0" fontId="34" fillId="7" borderId="2" xfId="0" applyFont="1" applyFill="1" applyBorder="1"/>
    <xf numFmtId="0" fontId="30" fillId="7" borderId="2" xfId="0" applyFont="1" applyFill="1" applyBorder="1" applyAlignment="1">
      <alignment horizontal="center"/>
    </xf>
    <xf numFmtId="0" fontId="30" fillId="7" borderId="2" xfId="0" applyFont="1" applyFill="1" applyBorder="1"/>
    <xf numFmtId="174" fontId="10" fillId="0" borderId="0" xfId="2" applyNumberFormat="1" applyFont="1" applyFill="1" applyBorder="1" applyAlignment="1">
      <alignment horizontal="center"/>
    </xf>
    <xf numFmtId="174" fontId="10" fillId="0" borderId="0" xfId="0" applyNumberFormat="1" applyFont="1" applyAlignment="1">
      <alignment horizontal="right"/>
    </xf>
    <xf numFmtId="164" fontId="10" fillId="0" borderId="0" xfId="2" applyFont="1" applyFill="1" applyBorder="1" applyAlignment="1">
      <alignment horizontal="center"/>
    </xf>
    <xf numFmtId="165" fontId="10" fillId="0" borderId="0" xfId="0" applyNumberFormat="1" applyFont="1"/>
    <xf numFmtId="0" fontId="7" fillId="0" borderId="0" xfId="0" applyFont="1"/>
    <xf numFmtId="0" fontId="6" fillId="0" borderId="0" xfId="0" applyFont="1" applyAlignment="1">
      <alignment horizontal="center" wrapText="1"/>
    </xf>
    <xf numFmtId="164" fontId="0" fillId="0" borderId="0" xfId="2" applyFont="1" applyFill="1" applyBorder="1" applyAlignment="1">
      <alignment horizontal="center"/>
    </xf>
    <xf numFmtId="174" fontId="3" fillId="0" borderId="0" xfId="0" applyNumberFormat="1" applyFont="1"/>
    <xf numFmtId="171" fontId="6" fillId="0" borderId="0" xfId="0" applyNumberFormat="1" applyFont="1" applyAlignment="1">
      <alignment horizontal="right"/>
    </xf>
    <xf numFmtId="9" fontId="6" fillId="0" borderId="0" xfId="0" applyNumberFormat="1" applyFont="1" applyAlignment="1">
      <alignment horizontal="right"/>
    </xf>
    <xf numFmtId="171" fontId="14" fillId="0" borderId="0" xfId="0" applyNumberFormat="1" applyFont="1" applyAlignment="1">
      <alignment horizontal="right"/>
    </xf>
    <xf numFmtId="174" fontId="14" fillId="0" borderId="0" xfId="0" applyNumberFormat="1" applyFont="1" applyAlignment="1">
      <alignment horizontal="center"/>
    </xf>
    <xf numFmtId="9" fontId="8" fillId="0" borderId="0" xfId="0" applyNumberFormat="1" applyFont="1" applyAlignment="1">
      <alignment horizontal="right"/>
    </xf>
    <xf numFmtId="174" fontId="8" fillId="0" borderId="0" xfId="0" applyNumberFormat="1" applyFont="1"/>
    <xf numFmtId="174" fontId="8" fillId="0" borderId="0" xfId="0" applyNumberFormat="1" applyFont="1" applyAlignment="1">
      <alignment horizontal="center"/>
    </xf>
    <xf numFmtId="0" fontId="8" fillId="0" borderId="0" xfId="0" applyFont="1" applyAlignment="1">
      <alignment horizontal="right"/>
    </xf>
    <xf numFmtId="0" fontId="0" fillId="0" borderId="0" xfId="0" applyAlignment="1">
      <alignment horizontal="right"/>
    </xf>
    <xf numFmtId="174" fontId="14" fillId="0" borderId="0" xfId="1" applyNumberFormat="1" applyFont="1" applyBorder="1"/>
    <xf numFmtId="0" fontId="35" fillId="0" borderId="0" xfId="0" applyFont="1"/>
    <xf numFmtId="167" fontId="6" fillId="7" borderId="2" xfId="0" applyNumberFormat="1" applyFont="1" applyFill="1" applyBorder="1" applyAlignment="1">
      <alignment horizontal="center" vertical="top"/>
    </xf>
    <xf numFmtId="179" fontId="8" fillId="7" borderId="2" xfId="0" applyNumberFormat="1" applyFont="1" applyFill="1" applyBorder="1" applyAlignment="1">
      <alignment horizontal="center"/>
    </xf>
    <xf numFmtId="165" fontId="8" fillId="7" borderId="2" xfId="1" applyFont="1" applyFill="1" applyBorder="1"/>
    <xf numFmtId="165" fontId="8" fillId="17" borderId="2" xfId="1" applyFont="1" applyFill="1" applyBorder="1"/>
    <xf numFmtId="4" fontId="6" fillId="17" borderId="2" xfId="0" applyNumberFormat="1" applyFont="1" applyFill="1" applyBorder="1"/>
    <xf numFmtId="0" fontId="8" fillId="16" borderId="2" xfId="0" applyFont="1" applyFill="1" applyBorder="1" applyAlignment="1">
      <alignment horizontal="center"/>
    </xf>
    <xf numFmtId="165" fontId="8" fillId="16" borderId="2" xfId="1" applyFont="1" applyFill="1" applyBorder="1"/>
    <xf numFmtId="4" fontId="8" fillId="7" borderId="2" xfId="1" applyNumberFormat="1" applyFont="1" applyFill="1" applyBorder="1"/>
    <xf numFmtId="176" fontId="8" fillId="7" borderId="2" xfId="1" applyNumberFormat="1" applyFont="1" applyFill="1" applyBorder="1" applyAlignment="1">
      <alignment wrapText="1"/>
    </xf>
    <xf numFmtId="175" fontId="8" fillId="7" borderId="2" xfId="1" applyNumberFormat="1" applyFont="1" applyFill="1" applyBorder="1" applyAlignment="1">
      <alignment wrapText="1"/>
    </xf>
    <xf numFmtId="165" fontId="8" fillId="16" borderId="2" xfId="0" applyNumberFormat="1" applyFont="1" applyFill="1" applyBorder="1"/>
    <xf numFmtId="165" fontId="8" fillId="16" borderId="2" xfId="1" applyFont="1" applyFill="1" applyBorder="1" applyAlignment="1">
      <alignment wrapText="1"/>
    </xf>
    <xf numFmtId="179" fontId="8" fillId="7" borderId="2" xfId="1" applyNumberFormat="1" applyFont="1" applyFill="1" applyBorder="1"/>
    <xf numFmtId="165" fontId="6" fillId="16" borderId="2" xfId="0" applyNumberFormat="1" applyFont="1" applyFill="1" applyBorder="1"/>
    <xf numFmtId="165" fontId="6" fillId="16" borderId="2" xfId="1" applyFont="1" applyFill="1" applyBorder="1"/>
    <xf numFmtId="179" fontId="6" fillId="7" borderId="2" xfId="1" applyNumberFormat="1" applyFont="1" applyFill="1" applyBorder="1"/>
    <xf numFmtId="176" fontId="6" fillId="7" borderId="2" xfId="1" applyNumberFormat="1" applyFont="1" applyFill="1" applyBorder="1"/>
    <xf numFmtId="175" fontId="6" fillId="7" borderId="2" xfId="1" applyNumberFormat="1" applyFont="1" applyFill="1" applyBorder="1" applyAlignment="1">
      <alignment wrapText="1"/>
    </xf>
    <xf numFmtId="0" fontId="8" fillId="16" borderId="2" xfId="0" applyFont="1" applyFill="1" applyBorder="1"/>
    <xf numFmtId="165" fontId="6" fillId="16" borderId="2" xfId="1" applyFont="1" applyFill="1" applyBorder="1" applyAlignment="1">
      <alignment wrapText="1"/>
    </xf>
    <xf numFmtId="0" fontId="16" fillId="7" borderId="2" xfId="0" applyFont="1" applyFill="1" applyBorder="1" applyAlignment="1">
      <alignment wrapText="1"/>
    </xf>
    <xf numFmtId="179" fontId="13" fillId="7" borderId="2" xfId="1" applyNumberFormat="1" applyFont="1" applyFill="1" applyBorder="1"/>
    <xf numFmtId="176" fontId="13" fillId="7" borderId="2" xfId="1" applyNumberFormat="1" applyFont="1" applyFill="1" applyBorder="1"/>
    <xf numFmtId="175" fontId="13" fillId="7" borderId="2" xfId="1" applyNumberFormat="1" applyFont="1" applyFill="1" applyBorder="1" applyAlignment="1">
      <alignment wrapText="1"/>
    </xf>
    <xf numFmtId="0" fontId="13" fillId="7" borderId="2" xfId="0" applyFont="1" applyFill="1" applyBorder="1" applyAlignment="1">
      <alignment wrapText="1"/>
    </xf>
    <xf numFmtId="187" fontId="13" fillId="7" borderId="2" xfId="1" applyNumberFormat="1" applyFont="1" applyFill="1" applyBorder="1"/>
    <xf numFmtId="4" fontId="8" fillId="16" borderId="2" xfId="0" applyNumberFormat="1" applyFont="1" applyFill="1" applyBorder="1"/>
    <xf numFmtId="0" fontId="13" fillId="7" borderId="2" xfId="0" applyFont="1" applyFill="1" applyBorder="1" applyAlignment="1">
      <alignment vertical="center" wrapText="1"/>
    </xf>
    <xf numFmtId="165" fontId="13" fillId="7" borderId="2" xfId="1" applyFont="1" applyFill="1" applyBorder="1" applyAlignment="1">
      <alignment horizontal="center"/>
    </xf>
    <xf numFmtId="0" fontId="13" fillId="7" borderId="2" xfId="0" applyFont="1" applyFill="1" applyBorder="1" applyAlignment="1">
      <alignment horizontal="left" wrapText="1"/>
    </xf>
    <xf numFmtId="4" fontId="8" fillId="16" borderId="2" xfId="0" applyNumberFormat="1" applyFont="1" applyFill="1" applyBorder="1" applyAlignment="1">
      <alignment horizontal="center"/>
    </xf>
    <xf numFmtId="0" fontId="16" fillId="7" borderId="2" xfId="0" applyFont="1" applyFill="1" applyBorder="1" applyAlignment="1">
      <alignment horizontal="left" wrapText="1"/>
    </xf>
    <xf numFmtId="0" fontId="16" fillId="7" borderId="2" xfId="0" applyFont="1" applyFill="1" applyBorder="1" applyAlignment="1">
      <alignment horizontal="center"/>
    </xf>
    <xf numFmtId="179" fontId="16" fillId="7" borderId="2" xfId="1" applyNumberFormat="1" applyFont="1" applyFill="1" applyBorder="1"/>
    <xf numFmtId="176" fontId="16" fillId="7" borderId="2" xfId="1" applyNumberFormat="1" applyFont="1" applyFill="1" applyBorder="1"/>
    <xf numFmtId="39" fontId="13" fillId="7" borderId="2" xfId="1" applyNumberFormat="1" applyFont="1" applyFill="1" applyBorder="1" applyAlignment="1">
      <alignment wrapText="1"/>
    </xf>
    <xf numFmtId="165" fontId="13" fillId="7" borderId="2" xfId="1" applyFont="1" applyFill="1" applyBorder="1"/>
    <xf numFmtId="178" fontId="6" fillId="16" borderId="2" xfId="0" applyNumberFormat="1" applyFont="1" applyFill="1" applyBorder="1" applyAlignment="1">
      <alignment horizontal="center"/>
    </xf>
    <xf numFmtId="178" fontId="6" fillId="16" borderId="2" xfId="1" applyNumberFormat="1" applyFont="1" applyFill="1" applyBorder="1" applyAlignment="1">
      <alignment wrapText="1"/>
    </xf>
    <xf numFmtId="178" fontId="6" fillId="16" borderId="2" xfId="1" applyNumberFormat="1" applyFont="1" applyFill="1" applyBorder="1"/>
    <xf numFmtId="4" fontId="13" fillId="7" borderId="2" xfId="1" applyNumberFormat="1" applyFont="1" applyFill="1" applyBorder="1"/>
    <xf numFmtId="2" fontId="8" fillId="7" borderId="2" xfId="0" applyNumberFormat="1" applyFont="1" applyFill="1" applyBorder="1" applyAlignment="1">
      <alignment horizontal="center" wrapText="1"/>
    </xf>
    <xf numFmtId="176" fontId="13" fillId="7" borderId="2" xfId="1" applyNumberFormat="1" applyFont="1" applyFill="1" applyBorder="1" applyAlignment="1">
      <alignment wrapText="1"/>
    </xf>
    <xf numFmtId="165" fontId="8" fillId="17" borderId="2" xfId="3" applyNumberFormat="1" applyFont="1" applyFill="1" applyBorder="1" applyAlignment="1">
      <alignment horizontal="center"/>
    </xf>
    <xf numFmtId="4" fontId="8" fillId="17" borderId="2" xfId="1" applyNumberFormat="1" applyFont="1" applyFill="1" applyBorder="1" applyAlignment="1">
      <alignment horizontal="center"/>
    </xf>
    <xf numFmtId="178" fontId="6" fillId="16" borderId="2" xfId="1" applyNumberFormat="1" applyFont="1" applyFill="1" applyBorder="1" applyAlignment="1">
      <alignment horizontal="right"/>
    </xf>
    <xf numFmtId="0" fontId="13" fillId="7" borderId="2" xfId="0" applyFont="1" applyFill="1" applyBorder="1" applyAlignment="1">
      <alignment horizontal="center" wrapText="1"/>
    </xf>
    <xf numFmtId="2" fontId="13" fillId="7" borderId="2" xfId="0" applyNumberFormat="1" applyFont="1" applyFill="1" applyBorder="1" applyAlignment="1">
      <alignment horizontal="right" wrapText="1"/>
    </xf>
    <xf numFmtId="176" fontId="13" fillId="7" borderId="2" xfId="0" applyNumberFormat="1" applyFont="1" applyFill="1" applyBorder="1" applyAlignment="1">
      <alignment horizontal="center" wrapText="1"/>
    </xf>
    <xf numFmtId="176" fontId="13" fillId="7" borderId="2" xfId="0" applyNumberFormat="1" applyFont="1" applyFill="1" applyBorder="1" applyAlignment="1">
      <alignment horizontal="right" wrapText="1"/>
    </xf>
    <xf numFmtId="0" fontId="16" fillId="7" borderId="2" xfId="0" applyFont="1" applyFill="1" applyBorder="1" applyAlignment="1">
      <alignment horizontal="center" wrapText="1"/>
    </xf>
    <xf numFmtId="0" fontId="16" fillId="7" borderId="2" xfId="0" applyFont="1" applyFill="1" applyBorder="1" applyAlignment="1">
      <alignment horizontal="right" wrapText="1"/>
    </xf>
    <xf numFmtId="176" fontId="16" fillId="7" borderId="2" xfId="0" applyNumberFormat="1" applyFont="1" applyFill="1" applyBorder="1" applyAlignment="1">
      <alignment wrapText="1"/>
    </xf>
    <xf numFmtId="2" fontId="6" fillId="7" borderId="2" xfId="0" applyNumberFormat="1" applyFont="1" applyFill="1" applyBorder="1" applyAlignment="1">
      <alignment horizontal="center" wrapText="1"/>
    </xf>
    <xf numFmtId="2" fontId="8" fillId="7" borderId="2" xfId="0" applyNumberFormat="1" applyFont="1" applyFill="1" applyBorder="1" applyAlignment="1">
      <alignment horizontal="center" vertical="center" wrapText="1"/>
    </xf>
    <xf numFmtId="0" fontId="13" fillId="7" borderId="2" xfId="0" applyFont="1" applyFill="1" applyBorder="1" applyAlignment="1">
      <alignment horizontal="left" vertical="top" wrapText="1"/>
    </xf>
    <xf numFmtId="4" fontId="8" fillId="16" borderId="2" xfId="1" applyNumberFormat="1" applyFont="1" applyFill="1" applyBorder="1"/>
    <xf numFmtId="178" fontId="8" fillId="16" borderId="2" xfId="1" applyNumberFormat="1" applyFont="1" applyFill="1" applyBorder="1"/>
    <xf numFmtId="0" fontId="13" fillId="7" borderId="2" xfId="0" applyFont="1" applyFill="1" applyBorder="1" applyAlignment="1">
      <alignment horizontal="right" wrapText="1"/>
    </xf>
    <xf numFmtId="176" fontId="13" fillId="7" borderId="2" xfId="0" applyNumberFormat="1" applyFont="1" applyFill="1" applyBorder="1" applyAlignment="1">
      <alignment wrapText="1"/>
    </xf>
    <xf numFmtId="2" fontId="16" fillId="7" borderId="2" xfId="0" applyNumberFormat="1" applyFont="1" applyFill="1" applyBorder="1" applyAlignment="1">
      <alignment horizontal="right" wrapText="1"/>
    </xf>
    <xf numFmtId="176" fontId="16" fillId="7" borderId="2" xfId="0" applyNumberFormat="1" applyFont="1" applyFill="1" applyBorder="1" applyAlignment="1">
      <alignment horizontal="right" wrapText="1"/>
    </xf>
    <xf numFmtId="178" fontId="8" fillId="16" borderId="2" xfId="1" applyNumberFormat="1" applyFont="1" applyFill="1" applyBorder="1" applyAlignment="1">
      <alignment wrapText="1"/>
    </xf>
    <xf numFmtId="4" fontId="6" fillId="16" borderId="2" xfId="1" applyNumberFormat="1" applyFont="1" applyFill="1" applyBorder="1"/>
    <xf numFmtId="0" fontId="8" fillId="7" borderId="2" xfId="0" applyFont="1" applyFill="1" applyBorder="1" applyAlignment="1">
      <alignment horizontal="center" wrapText="1"/>
    </xf>
    <xf numFmtId="2" fontId="8" fillId="7" borderId="2" xfId="0" applyNumberFormat="1" applyFont="1" applyFill="1" applyBorder="1" applyAlignment="1">
      <alignment horizontal="right" wrapText="1"/>
    </xf>
    <xf numFmtId="176" fontId="8" fillId="7" borderId="2" xfId="0" applyNumberFormat="1" applyFont="1" applyFill="1" applyBorder="1" applyAlignment="1">
      <alignment horizontal="right" wrapText="1"/>
    </xf>
    <xf numFmtId="0" fontId="6" fillId="7" borderId="2" xfId="0" applyFont="1" applyFill="1" applyBorder="1" applyAlignment="1">
      <alignment horizontal="center" wrapText="1"/>
    </xf>
    <xf numFmtId="2" fontId="6" fillId="7" borderId="2" xfId="0" applyNumberFormat="1" applyFont="1" applyFill="1" applyBorder="1" applyAlignment="1">
      <alignment horizontal="right" wrapText="1"/>
    </xf>
    <xf numFmtId="176" fontId="6" fillId="7" borderId="2" xfId="0" applyNumberFormat="1" applyFont="1" applyFill="1" applyBorder="1" applyAlignment="1">
      <alignment horizontal="right" wrapText="1"/>
    </xf>
    <xf numFmtId="0" fontId="8" fillId="17" borderId="2" xfId="1" applyNumberFormat="1" applyFont="1" applyFill="1" applyBorder="1" applyAlignment="1">
      <alignment horizontal="center"/>
    </xf>
    <xf numFmtId="0" fontId="8" fillId="7" borderId="2" xfId="0" applyFont="1" applyFill="1" applyBorder="1" applyAlignment="1">
      <alignment horizontal="right" wrapText="1"/>
    </xf>
    <xf numFmtId="176" fontId="8" fillId="7" borderId="2" xfId="0" applyNumberFormat="1" applyFont="1" applyFill="1" applyBorder="1" applyAlignment="1">
      <alignment wrapText="1"/>
    </xf>
    <xf numFmtId="176" fontId="8" fillId="0" borderId="0" xfId="0" applyNumberFormat="1" applyFont="1"/>
    <xf numFmtId="2" fontId="8" fillId="0" borderId="0" xfId="0" applyNumberFormat="1" applyFont="1" applyAlignment="1">
      <alignment horizontal="right"/>
    </xf>
    <xf numFmtId="165" fontId="8" fillId="0" borderId="0" xfId="3" applyNumberFormat="1" applyFont="1" applyFill="1" applyBorder="1" applyAlignment="1">
      <alignment horizontal="center"/>
    </xf>
    <xf numFmtId="0" fontId="8" fillId="0" borderId="0" xfId="1" applyNumberFormat="1" applyFont="1" applyFill="1" applyBorder="1" applyAlignment="1">
      <alignment horizontal="center"/>
    </xf>
    <xf numFmtId="178" fontId="6" fillId="0" borderId="0" xfId="1" applyNumberFormat="1" applyFont="1" applyFill="1" applyBorder="1" applyAlignment="1">
      <alignment wrapText="1"/>
    </xf>
    <xf numFmtId="4" fontId="6" fillId="0" borderId="0" xfId="1" applyNumberFormat="1" applyFont="1" applyFill="1" applyBorder="1"/>
    <xf numFmtId="165" fontId="6" fillId="0" borderId="0" xfId="1" applyFont="1" applyFill="1" applyBorder="1"/>
    <xf numFmtId="0" fontId="6" fillId="6" borderId="2" xfId="0" applyFont="1" applyFill="1" applyBorder="1" applyAlignment="1">
      <alignment wrapText="1"/>
    </xf>
    <xf numFmtId="0" fontId="6" fillId="6" borderId="2" xfId="0" applyFont="1" applyFill="1" applyBorder="1" applyAlignment="1">
      <alignment horizontal="center" wrapText="1"/>
    </xf>
    <xf numFmtId="0" fontId="6" fillId="10" borderId="2" xfId="0" applyFont="1" applyFill="1" applyBorder="1" applyAlignment="1">
      <alignment horizontal="center" wrapText="1"/>
    </xf>
    <xf numFmtId="0" fontId="6" fillId="11" borderId="2" xfId="0" applyFont="1" applyFill="1" applyBorder="1" applyAlignment="1">
      <alignment horizontal="center" wrapText="1"/>
    </xf>
    <xf numFmtId="2" fontId="8" fillId="7" borderId="2" xfId="0" applyNumberFormat="1" applyFont="1" applyFill="1" applyBorder="1" applyAlignment="1">
      <alignment horizontal="center" vertical="top" wrapText="1"/>
    </xf>
    <xf numFmtId="2" fontId="8" fillId="7" borderId="2" xfId="0" applyNumberFormat="1" applyFont="1" applyFill="1" applyBorder="1" applyAlignment="1">
      <alignment horizontal="left" wrapText="1"/>
    </xf>
    <xf numFmtId="4" fontId="8" fillId="7" borderId="2" xfId="0" applyNumberFormat="1" applyFont="1" applyFill="1" applyBorder="1" applyAlignment="1">
      <alignment horizontal="center" wrapText="1"/>
    </xf>
    <xf numFmtId="4" fontId="8" fillId="7" borderId="2" xfId="0" applyNumberFormat="1" applyFont="1" applyFill="1" applyBorder="1" applyAlignment="1">
      <alignment horizontal="right" wrapText="1"/>
    </xf>
    <xf numFmtId="165" fontId="8" fillId="18" borderId="2" xfId="13" applyFont="1" applyFill="1" applyBorder="1" applyAlignment="1">
      <alignment wrapText="1"/>
    </xf>
    <xf numFmtId="10" fontId="8" fillId="18" borderId="2" xfId="0" applyNumberFormat="1" applyFont="1" applyFill="1" applyBorder="1" applyAlignment="1">
      <alignment wrapText="1"/>
    </xf>
    <xf numFmtId="165" fontId="8" fillId="16" borderId="2" xfId="13" applyFont="1" applyFill="1" applyBorder="1" applyAlignment="1">
      <alignment horizontal="center" wrapText="1"/>
    </xf>
    <xf numFmtId="2" fontId="8" fillId="7" borderId="2" xfId="0" applyNumberFormat="1" applyFont="1" applyFill="1" applyBorder="1" applyAlignment="1">
      <alignment horizontal="left"/>
    </xf>
    <xf numFmtId="165" fontId="8" fillId="7" borderId="2" xfId="13" applyFont="1" applyFill="1" applyBorder="1" applyAlignment="1">
      <alignment horizontal="center" wrapText="1"/>
    </xf>
    <xf numFmtId="4" fontId="8" fillId="7" borderId="2" xfId="13" applyNumberFormat="1" applyFont="1" applyFill="1" applyBorder="1" applyAlignment="1">
      <alignment horizontal="right" wrapText="1"/>
    </xf>
    <xf numFmtId="165" fontId="8" fillId="16" borderId="2" xfId="13" applyFont="1" applyFill="1" applyBorder="1" applyAlignment="1">
      <alignment wrapText="1"/>
    </xf>
    <xf numFmtId="4" fontId="8" fillId="7" borderId="2" xfId="13" applyNumberFormat="1" applyFont="1" applyFill="1" applyBorder="1" applyAlignment="1">
      <alignment wrapText="1"/>
    </xf>
    <xf numFmtId="165" fontId="8" fillId="7" borderId="2" xfId="13" applyFont="1" applyFill="1" applyBorder="1" applyAlignment="1">
      <alignment wrapText="1"/>
    </xf>
    <xf numFmtId="4" fontId="6" fillId="7" borderId="2" xfId="0" applyNumberFormat="1" applyFont="1" applyFill="1" applyBorder="1" applyAlignment="1">
      <alignment horizontal="right" wrapText="1"/>
    </xf>
    <xf numFmtId="165" fontId="6" fillId="18" borderId="2" xfId="13" applyFont="1" applyFill="1" applyBorder="1" applyAlignment="1">
      <alignment wrapText="1"/>
    </xf>
    <xf numFmtId="165" fontId="6" fillId="16" borderId="2" xfId="13" applyFont="1" applyFill="1" applyBorder="1" applyAlignment="1">
      <alignment horizontal="center" wrapText="1"/>
    </xf>
    <xf numFmtId="2" fontId="6" fillId="7" borderId="2" xfId="0" applyNumberFormat="1" applyFont="1" applyFill="1" applyBorder="1" applyAlignment="1">
      <alignment horizontal="center" vertical="center" wrapText="1"/>
    </xf>
    <xf numFmtId="165" fontId="6" fillId="7" borderId="2" xfId="13" applyFont="1" applyFill="1" applyBorder="1" applyAlignment="1">
      <alignment horizontal="center" wrapText="1"/>
    </xf>
    <xf numFmtId="4" fontId="6" fillId="7" borderId="2" xfId="0" applyNumberFormat="1" applyFont="1" applyFill="1" applyBorder="1" applyAlignment="1">
      <alignment horizontal="center" wrapText="1"/>
    </xf>
    <xf numFmtId="4" fontId="6" fillId="7" borderId="2" xfId="13" applyNumberFormat="1" applyFont="1" applyFill="1" applyBorder="1" applyAlignment="1">
      <alignment wrapText="1"/>
    </xf>
    <xf numFmtId="165" fontId="6" fillId="16" borderId="2" xfId="13" applyFont="1" applyFill="1" applyBorder="1" applyAlignment="1">
      <alignment wrapText="1"/>
    </xf>
    <xf numFmtId="166" fontId="6" fillId="0" borderId="0" xfId="13" applyNumberFormat="1" applyFont="1" applyFill="1" applyBorder="1" applyAlignment="1">
      <alignment horizontal="center" wrapText="1"/>
    </xf>
    <xf numFmtId="0" fontId="6" fillId="0" borderId="0" xfId="0" applyFont="1" applyAlignment="1">
      <alignment vertical="center" wrapText="1"/>
    </xf>
    <xf numFmtId="0" fontId="16" fillId="0" borderId="0" xfId="0" applyFont="1"/>
    <xf numFmtId="0" fontId="13" fillId="0" borderId="0" xfId="0" applyFont="1"/>
    <xf numFmtId="0" fontId="36" fillId="0" borderId="0" xfId="0" applyFont="1"/>
    <xf numFmtId="0" fontId="37" fillId="0" borderId="0" xfId="0" applyFont="1"/>
    <xf numFmtId="0" fontId="38" fillId="0" borderId="0" xfId="0" applyFont="1"/>
    <xf numFmtId="174" fontId="6" fillId="0" borderId="0" xfId="13" applyNumberFormat="1" applyFont="1" applyBorder="1" applyAlignment="1"/>
    <xf numFmtId="174" fontId="27" fillId="0" borderId="0" xfId="13" applyNumberFormat="1" applyFont="1" applyBorder="1" applyAlignment="1"/>
    <xf numFmtId="165" fontId="6" fillId="0" borderId="0" xfId="13" applyFont="1" applyBorder="1"/>
    <xf numFmtId="0" fontId="6" fillId="0" borderId="0" xfId="0" applyFont="1" applyAlignment="1">
      <alignment horizontal="left" vertical="top"/>
    </xf>
    <xf numFmtId="178" fontId="6" fillId="0" borderId="0" xfId="13" applyNumberFormat="1" applyFont="1" applyBorder="1"/>
    <xf numFmtId="0" fontId="39" fillId="0" borderId="0" xfId="0" applyFont="1"/>
    <xf numFmtId="165" fontId="8" fillId="0" borderId="0" xfId="13" applyFont="1" applyBorder="1"/>
    <xf numFmtId="174" fontId="8" fillId="0" borderId="0" xfId="13" applyNumberFormat="1" applyFont="1" applyBorder="1"/>
    <xf numFmtId="178" fontId="6" fillId="0" borderId="0" xfId="13" applyNumberFormat="1" applyFont="1" applyBorder="1" applyAlignment="1"/>
    <xf numFmtId="174" fontId="14" fillId="0" borderId="0" xfId="0" applyNumberFormat="1" applyFont="1"/>
    <xf numFmtId="178" fontId="14" fillId="0" borderId="0" xfId="0" applyNumberFormat="1" applyFont="1"/>
    <xf numFmtId="178" fontId="40" fillId="0" borderId="0" xfId="0" applyNumberFormat="1" applyFont="1"/>
    <xf numFmtId="0" fontId="41" fillId="0" borderId="0" xfId="0" applyFont="1"/>
    <xf numFmtId="174" fontId="35" fillId="0" borderId="0" xfId="0" applyNumberFormat="1" applyFont="1"/>
    <xf numFmtId="0" fontId="41" fillId="0" borderId="0" xfId="0" applyFont="1" applyAlignment="1">
      <alignment horizontal="center"/>
    </xf>
    <xf numFmtId="174" fontId="42" fillId="0" borderId="0" xfId="13" applyNumberFormat="1" applyFont="1" applyBorder="1" applyAlignment="1">
      <alignment horizontal="center"/>
    </xf>
    <xf numFmtId="174" fontId="42" fillId="0" borderId="0" xfId="0" applyNumberFormat="1" applyFont="1" applyAlignment="1">
      <alignment horizontal="center"/>
    </xf>
    <xf numFmtId="0" fontId="43" fillId="0" borderId="0" xfId="0" applyFont="1" applyAlignment="1">
      <alignment horizontal="left"/>
    </xf>
    <xf numFmtId="178" fontId="41" fillId="0" borderId="0" xfId="13" applyNumberFormat="1" applyFont="1" applyBorder="1"/>
    <xf numFmtId="172" fontId="43" fillId="0" borderId="0" xfId="0" applyNumberFormat="1" applyFont="1" applyAlignment="1">
      <alignment horizontal="center"/>
    </xf>
    <xf numFmtId="0" fontId="0" fillId="0" borderId="0" xfId="0" applyAlignment="1">
      <alignment wrapText="1"/>
    </xf>
    <xf numFmtId="4" fontId="6" fillId="0" borderId="0" xfId="0" applyNumberFormat="1" applyFont="1" applyAlignment="1">
      <alignment horizontal="center" wrapText="1"/>
    </xf>
    <xf numFmtId="2" fontId="6" fillId="0" borderId="0" xfId="0" applyNumberFormat="1" applyFont="1" applyAlignment="1">
      <alignment horizontal="center" wrapText="1"/>
    </xf>
    <xf numFmtId="172" fontId="6" fillId="0" borderId="0" xfId="0" applyNumberFormat="1" applyFont="1" applyAlignment="1">
      <alignment horizontal="center" wrapText="1"/>
    </xf>
    <xf numFmtId="2" fontId="7" fillId="0" borderId="0" xfId="0" applyNumberFormat="1" applyFont="1" applyAlignment="1">
      <alignment horizontal="center"/>
    </xf>
    <xf numFmtId="4" fontId="7" fillId="0" borderId="0" xfId="0" applyNumberFormat="1" applyFont="1" applyAlignment="1">
      <alignment horizontal="center"/>
    </xf>
    <xf numFmtId="2" fontId="6" fillId="0" borderId="0" xfId="0" applyNumberFormat="1" applyFont="1" applyAlignment="1">
      <alignment horizontal="center"/>
    </xf>
    <xf numFmtId="2" fontId="6" fillId="0" borderId="0" xfId="0" applyNumberFormat="1" applyFont="1"/>
    <xf numFmtId="2" fontId="8" fillId="0" borderId="0" xfId="0" applyNumberFormat="1" applyFont="1"/>
    <xf numFmtId="17" fontId="6" fillId="0" borderId="0" xfId="0" applyNumberFormat="1" applyFont="1"/>
    <xf numFmtId="165" fontId="6" fillId="0" borderId="0" xfId="0" applyNumberFormat="1" applyFont="1" applyAlignment="1">
      <alignment horizontal="right"/>
    </xf>
    <xf numFmtId="0" fontId="6" fillId="6" borderId="2" xfId="0" applyFont="1" applyFill="1" applyBorder="1" applyAlignment="1">
      <alignment horizontal="center" vertical="center" wrapText="1"/>
    </xf>
    <xf numFmtId="2" fontId="6" fillId="6" borderId="2" xfId="0" applyNumberFormat="1" applyFont="1" applyFill="1" applyBorder="1" applyAlignment="1">
      <alignment horizontal="center" wrapText="1"/>
    </xf>
    <xf numFmtId="4" fontId="6" fillId="6" borderId="2" xfId="1" applyNumberFormat="1" applyFont="1" applyFill="1" applyBorder="1" applyAlignment="1">
      <alignment horizontal="center" wrapText="1"/>
    </xf>
    <xf numFmtId="165" fontId="6" fillId="10" borderId="2" xfId="1" applyFont="1" applyFill="1" applyBorder="1" applyAlignment="1">
      <alignment horizontal="center" wrapText="1"/>
    </xf>
    <xf numFmtId="0" fontId="6" fillId="10" borderId="2" xfId="0" applyFont="1" applyFill="1" applyBorder="1" applyAlignment="1">
      <alignment horizontal="center" vertical="top" wrapText="1"/>
    </xf>
    <xf numFmtId="165" fontId="6" fillId="11" borderId="2" xfId="1" applyFont="1" applyFill="1" applyBorder="1" applyAlignment="1">
      <alignment horizontal="center" wrapText="1"/>
    </xf>
    <xf numFmtId="167" fontId="6" fillId="7" borderId="2" xfId="0" applyNumberFormat="1" applyFont="1" applyFill="1" applyBorder="1" applyAlignment="1">
      <alignment horizontal="center" vertical="top" wrapText="1"/>
    </xf>
    <xf numFmtId="4" fontId="8" fillId="7" borderId="2" xfId="1" applyNumberFormat="1" applyFont="1" applyFill="1" applyBorder="1" applyAlignment="1">
      <alignment wrapText="1"/>
    </xf>
    <xf numFmtId="165" fontId="8" fillId="17" borderId="2" xfId="1" applyFont="1" applyFill="1" applyBorder="1" applyAlignment="1">
      <alignment wrapText="1"/>
    </xf>
    <xf numFmtId="0" fontId="6" fillId="17" borderId="2" xfId="0" applyFont="1" applyFill="1" applyBorder="1" applyAlignment="1">
      <alignment horizontal="left" vertical="top" wrapText="1"/>
    </xf>
    <xf numFmtId="10" fontId="6" fillId="17" borderId="2" xfId="0" applyNumberFormat="1" applyFont="1" applyFill="1" applyBorder="1" applyAlignment="1">
      <alignment wrapText="1"/>
    </xf>
    <xf numFmtId="0" fontId="8" fillId="16" borderId="2" xfId="0" applyFont="1" applyFill="1" applyBorder="1" applyAlignment="1">
      <alignment horizontal="center" wrapText="1"/>
    </xf>
    <xf numFmtId="2" fontId="8" fillId="7" borderId="2" xfId="1" applyNumberFormat="1" applyFont="1" applyFill="1" applyBorder="1" applyAlignment="1">
      <alignment wrapText="1"/>
    </xf>
    <xf numFmtId="165" fontId="11" fillId="17" borderId="2" xfId="1" applyFont="1" applyFill="1" applyBorder="1" applyAlignment="1">
      <alignment wrapText="1"/>
    </xf>
    <xf numFmtId="2" fontId="8" fillId="17" borderId="2" xfId="0" applyNumberFormat="1" applyFont="1" applyFill="1" applyBorder="1" applyAlignment="1">
      <alignment horizontal="right" wrapText="1"/>
    </xf>
    <xf numFmtId="10" fontId="8" fillId="17" borderId="2" xfId="1" applyNumberFormat="1" applyFont="1" applyFill="1" applyBorder="1" applyAlignment="1">
      <alignment wrapText="1"/>
    </xf>
    <xf numFmtId="165" fontId="8" fillId="16" borderId="2" xfId="1" applyFont="1" applyFill="1" applyBorder="1" applyAlignment="1">
      <alignment horizontal="center" wrapText="1"/>
    </xf>
    <xf numFmtId="165" fontId="13" fillId="17" borderId="2" xfId="1" applyFont="1" applyFill="1" applyBorder="1" applyAlignment="1">
      <alignment wrapText="1"/>
    </xf>
    <xf numFmtId="165" fontId="6" fillId="16" borderId="2" xfId="1" applyFont="1" applyFill="1" applyBorder="1" applyAlignment="1">
      <alignment horizontal="center" wrapText="1"/>
    </xf>
    <xf numFmtId="2" fontId="13" fillId="7" borderId="2" xfId="1" applyNumberFormat="1" applyFont="1" applyFill="1" applyBorder="1" applyAlignment="1">
      <alignment wrapText="1"/>
    </xf>
    <xf numFmtId="4" fontId="13" fillId="7" borderId="2" xfId="1" applyNumberFormat="1" applyFont="1" applyFill="1" applyBorder="1" applyAlignment="1">
      <alignment wrapText="1"/>
    </xf>
    <xf numFmtId="165" fontId="6" fillId="16" borderId="2" xfId="0" applyNumberFormat="1" applyFont="1" applyFill="1" applyBorder="1" applyAlignment="1">
      <alignment horizontal="center" wrapText="1"/>
    </xf>
    <xf numFmtId="0" fontId="6" fillId="7" borderId="2" xfId="0" applyFont="1" applyFill="1" applyBorder="1" applyAlignment="1">
      <alignment horizontal="right" wrapText="1"/>
    </xf>
    <xf numFmtId="2" fontId="6" fillId="7" borderId="2" xfId="1" applyNumberFormat="1" applyFont="1" applyFill="1" applyBorder="1" applyAlignment="1">
      <alignment wrapText="1"/>
    </xf>
    <xf numFmtId="4" fontId="6" fillId="7" borderId="2" xfId="1" applyNumberFormat="1" applyFont="1" applyFill="1" applyBorder="1" applyAlignment="1">
      <alignment wrapText="1"/>
    </xf>
    <xf numFmtId="2" fontId="6" fillId="7" borderId="2" xfId="0" applyNumberFormat="1" applyFont="1" applyFill="1" applyBorder="1" applyAlignment="1">
      <alignment horizontal="center" vertical="top" wrapText="1"/>
    </xf>
    <xf numFmtId="165" fontId="8" fillId="17" borderId="2" xfId="0" applyNumberFormat="1" applyFont="1" applyFill="1" applyBorder="1" applyAlignment="1">
      <alignment horizontal="right" wrapText="1"/>
    </xf>
    <xf numFmtId="193" fontId="0" fillId="0" borderId="0" xfId="0" applyNumberFormat="1"/>
    <xf numFmtId="178" fontId="6" fillId="16" borderId="2" xfId="0" applyNumberFormat="1" applyFont="1" applyFill="1" applyBorder="1" applyAlignment="1">
      <alignment horizontal="center" wrapText="1"/>
    </xf>
    <xf numFmtId="10" fontId="8" fillId="17" borderId="2" xfId="3" applyNumberFormat="1" applyFont="1" applyFill="1" applyBorder="1" applyAlignment="1">
      <alignment horizontal="center" wrapText="1"/>
    </xf>
    <xf numFmtId="0" fontId="13" fillId="7" borderId="2" xfId="0" applyFont="1" applyFill="1" applyBorder="1"/>
    <xf numFmtId="2" fontId="8" fillId="16" borderId="2" xfId="0" applyNumberFormat="1" applyFont="1" applyFill="1" applyBorder="1" applyAlignment="1">
      <alignment horizontal="center" wrapText="1"/>
    </xf>
    <xf numFmtId="0" fontId="8" fillId="7" borderId="2" xfId="0" applyFont="1" applyFill="1" applyBorder="1" applyAlignment="1">
      <alignment horizontal="right" vertical="center" wrapText="1"/>
    </xf>
    <xf numFmtId="2" fontId="8" fillId="7" borderId="2" xfId="1" applyNumberFormat="1" applyFont="1" applyFill="1" applyBorder="1" applyAlignment="1">
      <alignment horizontal="center" vertical="center" wrapText="1"/>
    </xf>
    <xf numFmtId="4" fontId="8" fillId="7" borderId="2" xfId="1" applyNumberFormat="1" applyFont="1" applyFill="1" applyBorder="1" applyAlignment="1">
      <alignment vertical="center" wrapText="1"/>
    </xf>
    <xf numFmtId="2" fontId="8" fillId="7" borderId="2" xfId="1" applyNumberFormat="1" applyFont="1" applyFill="1" applyBorder="1" applyAlignment="1">
      <alignment vertical="center" wrapText="1"/>
    </xf>
    <xf numFmtId="0" fontId="6" fillId="7" borderId="2" xfId="0" applyFont="1" applyFill="1" applyBorder="1" applyAlignment="1">
      <alignment horizontal="right" vertical="center" wrapText="1"/>
    </xf>
    <xf numFmtId="165" fontId="44" fillId="17" borderId="2" xfId="1" applyFont="1" applyFill="1" applyBorder="1" applyAlignment="1">
      <alignment wrapText="1"/>
    </xf>
    <xf numFmtId="2" fontId="13" fillId="17" borderId="2" xfId="0" applyNumberFormat="1" applyFont="1" applyFill="1" applyBorder="1" applyAlignment="1">
      <alignment horizontal="right" wrapText="1"/>
    </xf>
    <xf numFmtId="10" fontId="13" fillId="17" borderId="2" xfId="1" applyNumberFormat="1" applyFont="1" applyFill="1" applyBorder="1" applyAlignment="1">
      <alignment wrapText="1"/>
    </xf>
    <xf numFmtId="2" fontId="41" fillId="0" borderId="0" xfId="0" applyNumberFormat="1" applyFont="1" applyAlignment="1">
      <alignment horizontal="center" vertical="top" wrapText="1"/>
    </xf>
    <xf numFmtId="0" fontId="28" fillId="0" borderId="0" xfId="0" applyFont="1" applyAlignment="1">
      <alignment wrapText="1"/>
    </xf>
    <xf numFmtId="165" fontId="43" fillId="0" borderId="0" xfId="1" applyFont="1" applyFill="1" applyBorder="1" applyAlignment="1">
      <alignment horizontal="center" wrapText="1"/>
    </xf>
    <xf numFmtId="2" fontId="43" fillId="0" borderId="0" xfId="1" applyNumberFormat="1" applyFont="1" applyFill="1" applyBorder="1" applyAlignment="1">
      <alignment horizontal="center" wrapText="1"/>
    </xf>
    <xf numFmtId="4" fontId="43" fillId="0" borderId="0" xfId="1" applyNumberFormat="1" applyFont="1" applyFill="1" applyBorder="1" applyAlignment="1">
      <alignment wrapText="1"/>
    </xf>
    <xf numFmtId="166" fontId="6" fillId="0" borderId="0" xfId="1" applyNumberFormat="1" applyFont="1" applyFill="1" applyBorder="1" applyAlignment="1">
      <alignment wrapText="1"/>
    </xf>
    <xf numFmtId="165" fontId="43" fillId="0" borderId="0" xfId="1" applyFont="1" applyFill="1" applyBorder="1" applyAlignment="1">
      <alignment wrapText="1"/>
    </xf>
    <xf numFmtId="165" fontId="6" fillId="0" borderId="0" xfId="1" applyFont="1" applyFill="1" applyBorder="1" applyAlignment="1">
      <alignment wrapText="1"/>
    </xf>
    <xf numFmtId="2" fontId="6" fillId="0" borderId="0" xfId="0" applyNumberFormat="1" applyFont="1" applyAlignment="1">
      <alignment horizontal="right" vertical="top" wrapText="1"/>
    </xf>
    <xf numFmtId="168" fontId="6" fillId="0" borderId="0" xfId="0" applyNumberFormat="1" applyFont="1" applyAlignment="1">
      <alignment wrapText="1"/>
    </xf>
    <xf numFmtId="166" fontId="6" fillId="0" borderId="0" xfId="1" applyNumberFormat="1" applyFont="1" applyFill="1" applyBorder="1" applyAlignment="1">
      <alignment horizontal="right" wrapText="1"/>
    </xf>
    <xf numFmtId="166" fontId="6" fillId="0" borderId="2" xfId="1" applyNumberFormat="1" applyFont="1" applyFill="1" applyBorder="1" applyAlignment="1">
      <alignment wrapText="1"/>
    </xf>
    <xf numFmtId="0" fontId="17" fillId="0" borderId="0" xfId="14" applyAlignment="1">
      <alignment wrapText="1"/>
    </xf>
    <xf numFmtId="0" fontId="8" fillId="0" borderId="0" xfId="0" applyFont="1" applyAlignment="1">
      <alignment wrapText="1"/>
    </xf>
    <xf numFmtId="2" fontId="8" fillId="0" borderId="0" xfId="0" applyNumberFormat="1" applyFont="1" applyAlignment="1">
      <alignment wrapText="1"/>
    </xf>
    <xf numFmtId="4" fontId="8" fillId="0" borderId="0" xfId="0" applyNumberFormat="1" applyFont="1" applyAlignment="1">
      <alignment wrapText="1"/>
    </xf>
    <xf numFmtId="165" fontId="8" fillId="0" borderId="0" xfId="0" applyNumberFormat="1" applyFont="1" applyAlignment="1">
      <alignment wrapText="1"/>
    </xf>
    <xf numFmtId="4" fontId="6" fillId="0" borderId="0" xfId="0" applyNumberFormat="1" applyFont="1" applyAlignment="1">
      <alignment wrapText="1"/>
    </xf>
    <xf numFmtId="0" fontId="28" fillId="6" borderId="2" xfId="0" applyFont="1" applyFill="1" applyBorder="1" applyAlignment="1">
      <alignment horizontal="center" vertical="top"/>
    </xf>
    <xf numFmtId="0" fontId="28" fillId="6" borderId="2" xfId="0" applyFont="1" applyFill="1" applyBorder="1" applyAlignment="1">
      <alignment horizontal="center"/>
    </xf>
    <xf numFmtId="165" fontId="28" fillId="6" borderId="2" xfId="1" applyFont="1" applyFill="1" applyBorder="1" applyAlignment="1">
      <alignment horizontal="center"/>
    </xf>
    <xf numFmtId="165" fontId="28" fillId="10" borderId="2" xfId="1" applyFont="1" applyFill="1" applyBorder="1" applyAlignment="1">
      <alignment horizontal="center"/>
    </xf>
    <xf numFmtId="0" fontId="28" fillId="10" borderId="2" xfId="0" applyFont="1" applyFill="1" applyBorder="1" applyAlignment="1">
      <alignment horizontal="left" vertical="top"/>
    </xf>
    <xf numFmtId="0" fontId="28" fillId="10" borderId="2" xfId="0" applyFont="1" applyFill="1" applyBorder="1" applyAlignment="1">
      <alignment horizontal="center"/>
    </xf>
    <xf numFmtId="0" fontId="28" fillId="11" borderId="2" xfId="0" applyFont="1" applyFill="1" applyBorder="1" applyAlignment="1">
      <alignment horizontal="center"/>
    </xf>
    <xf numFmtId="165" fontId="28" fillId="11" borderId="2" xfId="1" applyFont="1" applyFill="1" applyBorder="1" applyAlignment="1">
      <alignment horizontal="center"/>
    </xf>
    <xf numFmtId="0" fontId="45" fillId="7" borderId="2" xfId="0" applyFont="1" applyFill="1" applyBorder="1" applyAlignment="1">
      <alignment wrapText="1"/>
    </xf>
    <xf numFmtId="0" fontId="8" fillId="7" borderId="2" xfId="0" applyFont="1" applyFill="1" applyBorder="1" applyAlignment="1">
      <alignment horizontal="center" vertical="center" wrapText="1"/>
    </xf>
    <xf numFmtId="4" fontId="8" fillId="7" borderId="2" xfId="15" applyNumberFormat="1" applyFont="1" applyFill="1" applyBorder="1" applyAlignment="1">
      <alignment horizontal="right" wrapText="1"/>
    </xf>
    <xf numFmtId="0" fontId="45" fillId="7" borderId="0" xfId="0" applyFont="1" applyFill="1" applyAlignment="1">
      <alignment wrapText="1"/>
    </xf>
    <xf numFmtId="0" fontId="8" fillId="7" borderId="12" xfId="0" applyFont="1" applyFill="1" applyBorder="1" applyAlignment="1">
      <alignment horizontal="center" vertical="center" wrapText="1"/>
    </xf>
    <xf numFmtId="4" fontId="8" fillId="7" borderId="12" xfId="1" applyNumberFormat="1" applyFont="1" applyFill="1" applyBorder="1" applyAlignment="1">
      <alignment wrapText="1"/>
    </xf>
    <xf numFmtId="0" fontId="28" fillId="7" borderId="2" xfId="0" applyFont="1" applyFill="1" applyBorder="1" applyAlignment="1">
      <alignment horizontal="center" vertical="top"/>
    </xf>
    <xf numFmtId="0" fontId="28" fillId="7" borderId="2" xfId="0" applyFont="1" applyFill="1" applyBorder="1" applyAlignment="1">
      <alignment horizontal="left"/>
    </xf>
    <xf numFmtId="0" fontId="6" fillId="7" borderId="12" xfId="0" applyFont="1" applyFill="1" applyBorder="1" applyAlignment="1">
      <alignment horizontal="center"/>
    </xf>
    <xf numFmtId="4" fontId="6" fillId="7" borderId="12" xfId="0" applyNumberFormat="1" applyFont="1" applyFill="1" applyBorder="1" applyAlignment="1">
      <alignment horizontal="right"/>
    </xf>
    <xf numFmtId="165" fontId="28" fillId="17" borderId="2" xfId="1" applyFont="1" applyFill="1" applyBorder="1" applyAlignment="1">
      <alignment horizontal="center"/>
    </xf>
    <xf numFmtId="0" fontId="28" fillId="16" borderId="2" xfId="0" applyFont="1" applyFill="1" applyBorder="1" applyAlignment="1">
      <alignment horizontal="center"/>
    </xf>
    <xf numFmtId="0" fontId="11" fillId="7" borderId="2" xfId="0" applyFont="1" applyFill="1" applyBorder="1" applyAlignment="1">
      <alignment vertical="center" wrapText="1"/>
    </xf>
    <xf numFmtId="4" fontId="8" fillId="7" borderId="2" xfId="1" applyNumberFormat="1" applyFont="1" applyFill="1" applyBorder="1" applyAlignment="1">
      <alignment horizontal="right" wrapText="1"/>
    </xf>
    <xf numFmtId="166" fontId="6" fillId="7" borderId="2" xfId="0" applyNumberFormat="1" applyFont="1" applyFill="1" applyBorder="1" applyAlignment="1">
      <alignment vertical="center" wrapText="1"/>
    </xf>
    <xf numFmtId="4" fontId="6" fillId="16" borderId="2" xfId="0" applyNumberFormat="1" applyFont="1" applyFill="1" applyBorder="1" applyAlignment="1">
      <alignment wrapText="1"/>
    </xf>
    <xf numFmtId="4" fontId="28" fillId="0" borderId="0" xfId="14" applyNumberFormat="1" applyFont="1" applyAlignment="1">
      <alignment wrapText="1"/>
    </xf>
    <xf numFmtId="0" fontId="46" fillId="0" borderId="0" xfId="0" applyFont="1" applyAlignment="1">
      <alignment wrapText="1"/>
    </xf>
    <xf numFmtId="174" fontId="10" fillId="0" borderId="0" xfId="0" applyNumberFormat="1" applyFont="1" applyAlignment="1">
      <alignment wrapText="1"/>
    </xf>
    <xf numFmtId="166" fontId="6" fillId="0" borderId="0" xfId="0" applyNumberFormat="1" applyFont="1" applyAlignment="1">
      <alignment wrapText="1"/>
    </xf>
    <xf numFmtId="174" fontId="25" fillId="0" borderId="0" xfId="0" applyNumberFormat="1" applyFont="1" applyAlignment="1">
      <alignment wrapText="1"/>
    </xf>
    <xf numFmtId="166" fontId="25" fillId="0" borderId="0" xfId="0" applyNumberFormat="1" applyFont="1"/>
    <xf numFmtId="166" fontId="25" fillId="0" borderId="0" xfId="0" applyNumberFormat="1" applyFont="1" applyAlignment="1">
      <alignment wrapText="1"/>
    </xf>
    <xf numFmtId="194" fontId="6" fillId="0" borderId="0" xfId="0" applyNumberFormat="1" applyFont="1" applyAlignment="1">
      <alignment wrapText="1"/>
    </xf>
    <xf numFmtId="0" fontId="4" fillId="0" borderId="0" xfId="0" applyFont="1" applyAlignment="1">
      <alignment horizontal="center"/>
    </xf>
    <xf numFmtId="2" fontId="0" fillId="0" borderId="0" xfId="0" applyNumberFormat="1" applyAlignment="1">
      <alignment wrapText="1"/>
    </xf>
    <xf numFmtId="0" fontId="7" fillId="0" borderId="0" xfId="0" applyFont="1" applyAlignment="1">
      <alignment horizontal="center" wrapText="1"/>
    </xf>
    <xf numFmtId="2" fontId="7" fillId="0" borderId="0" xfId="0" applyNumberFormat="1" applyFont="1" applyAlignment="1">
      <alignment horizontal="center" wrapText="1"/>
    </xf>
    <xf numFmtId="4" fontId="7" fillId="0" borderId="0" xfId="0" applyNumberFormat="1" applyFont="1" applyAlignment="1">
      <alignment horizontal="center" wrapText="1"/>
    </xf>
    <xf numFmtId="4" fontId="0" fillId="0" borderId="0" xfId="0" applyNumberFormat="1" applyAlignment="1">
      <alignment wrapText="1"/>
    </xf>
    <xf numFmtId="0" fontId="8" fillId="0" borderId="0" xfId="0" applyFont="1" applyAlignment="1">
      <alignment horizontal="center" wrapText="1"/>
    </xf>
    <xf numFmtId="0" fontId="6" fillId="0" borderId="0" xfId="0" applyFont="1" applyAlignment="1">
      <alignment horizontal="right" vertical="center" wrapText="1"/>
    </xf>
    <xf numFmtId="0" fontId="6" fillId="0" borderId="0" xfId="0" applyFont="1" applyAlignment="1">
      <alignment horizontal="left" vertical="center" wrapText="1"/>
    </xf>
    <xf numFmtId="49" fontId="6" fillId="0" borderId="0" xfId="0" applyNumberFormat="1" applyFont="1" applyAlignment="1">
      <alignment horizontal="right" wrapText="1"/>
    </xf>
    <xf numFmtId="166" fontId="6" fillId="0" borderId="0" xfId="0" applyNumberFormat="1" applyFont="1" applyAlignment="1">
      <alignment horizontal="left" wrapText="1"/>
    </xf>
    <xf numFmtId="0" fontId="6" fillId="0" borderId="0" xfId="0" applyFont="1" applyAlignment="1">
      <alignment horizontal="right" wrapText="1"/>
    </xf>
    <xf numFmtId="17" fontId="6" fillId="0" borderId="0" xfId="0" applyNumberFormat="1" applyFont="1" applyAlignment="1">
      <alignment horizontal="right" wrapText="1"/>
    </xf>
    <xf numFmtId="14" fontId="6" fillId="0" borderId="0" xfId="0" applyNumberFormat="1" applyFont="1" applyAlignment="1">
      <alignment wrapText="1"/>
    </xf>
    <xf numFmtId="2" fontId="6" fillId="0" borderId="0" xfId="0" applyNumberFormat="1" applyFont="1" applyAlignment="1">
      <alignment wrapText="1"/>
    </xf>
    <xf numFmtId="166" fontId="6" fillId="0" borderId="0" xfId="0" applyNumberFormat="1" applyFont="1" applyAlignment="1">
      <alignment horizontal="center" wrapText="1"/>
    </xf>
    <xf numFmtId="174" fontId="6" fillId="0" borderId="0" xfId="0" applyNumberFormat="1" applyFont="1" applyAlignment="1">
      <alignment horizontal="center" wrapText="1"/>
    </xf>
    <xf numFmtId="174" fontId="6" fillId="0" borderId="0" xfId="1" applyNumberFormat="1" applyFont="1" applyBorder="1" applyAlignment="1">
      <alignment wrapText="1"/>
    </xf>
    <xf numFmtId="0" fontId="8" fillId="0" borderId="0" xfId="0" applyFont="1" applyAlignment="1">
      <alignment horizontal="left" vertical="top" wrapText="1"/>
    </xf>
    <xf numFmtId="10" fontId="6" fillId="0" borderId="0" xfId="0" applyNumberFormat="1" applyFont="1" applyAlignment="1">
      <alignment horizontal="center" wrapText="1"/>
    </xf>
    <xf numFmtId="166" fontId="6" fillId="0" borderId="0" xfId="1" applyNumberFormat="1" applyFont="1" applyBorder="1" applyAlignment="1">
      <alignment horizontal="center" wrapText="1"/>
    </xf>
    <xf numFmtId="174" fontId="6" fillId="0" borderId="0" xfId="1" applyNumberFormat="1" applyFont="1" applyBorder="1" applyAlignment="1">
      <alignment horizontal="center" wrapText="1"/>
    </xf>
    <xf numFmtId="10" fontId="6" fillId="0" borderId="0" xfId="3" applyNumberFormat="1" applyFont="1" applyBorder="1" applyAlignment="1">
      <alignment horizontal="center" wrapText="1"/>
    </xf>
    <xf numFmtId="195" fontId="6" fillId="0" borderId="0" xfId="0" applyNumberFormat="1" applyFont="1" applyAlignment="1">
      <alignment horizontal="center" wrapText="1"/>
    </xf>
    <xf numFmtId="10" fontId="27" fillId="0" borderId="0" xfId="0" applyNumberFormat="1" applyFont="1" applyAlignment="1">
      <alignment horizontal="center" wrapText="1"/>
    </xf>
    <xf numFmtId="166" fontId="27" fillId="0" borderId="0" xfId="1" applyNumberFormat="1" applyFont="1" applyBorder="1" applyAlignment="1">
      <alignment horizontal="center" wrapText="1"/>
    </xf>
    <xf numFmtId="174" fontId="27" fillId="0" borderId="0" xfId="1" applyNumberFormat="1" applyFont="1" applyBorder="1" applyAlignment="1">
      <alignment horizontal="center" wrapText="1"/>
    </xf>
    <xf numFmtId="0" fontId="14" fillId="0" borderId="0" xfId="0" applyFont="1" applyAlignment="1">
      <alignment horizontal="left"/>
    </xf>
    <xf numFmtId="2" fontId="14" fillId="0" borderId="0" xfId="0" applyNumberFormat="1" applyFont="1" applyAlignment="1">
      <alignment horizontal="center" wrapText="1"/>
    </xf>
    <xf numFmtId="166" fontId="14" fillId="0" borderId="0" xfId="1" applyNumberFormat="1" applyFont="1" applyBorder="1" applyAlignment="1">
      <alignment horizontal="center"/>
    </xf>
    <xf numFmtId="174" fontId="14" fillId="0" borderId="0" xfId="1" applyNumberFormat="1" applyFont="1" applyBorder="1" applyAlignment="1">
      <alignment horizontal="center" wrapText="1"/>
    </xf>
    <xf numFmtId="166" fontId="14" fillId="0" borderId="0" xfId="0" applyNumberFormat="1" applyFont="1" applyAlignment="1">
      <alignment horizontal="center" vertical="top" wrapText="1"/>
    </xf>
    <xf numFmtId="166" fontId="6" fillId="0" borderId="0" xfId="1" applyNumberFormat="1" applyFont="1" applyBorder="1" applyAlignment="1">
      <alignment wrapText="1"/>
    </xf>
    <xf numFmtId="165" fontId="6" fillId="0" borderId="0" xfId="1" applyFont="1" applyBorder="1" applyAlignment="1">
      <alignment wrapText="1"/>
    </xf>
    <xf numFmtId="166" fontId="8" fillId="0" borderId="0" xfId="0" applyNumberFormat="1" applyFont="1" applyAlignment="1">
      <alignment horizontal="left" vertical="top" wrapText="1"/>
    </xf>
    <xf numFmtId="166" fontId="8" fillId="0" borderId="0" xfId="1" applyNumberFormat="1" applyFont="1" applyBorder="1" applyAlignment="1">
      <alignment wrapText="1"/>
    </xf>
    <xf numFmtId="172" fontId="8" fillId="0" borderId="0" xfId="0" applyNumberFormat="1" applyFont="1" applyAlignment="1">
      <alignment horizontal="center" wrapText="1"/>
    </xf>
    <xf numFmtId="165" fontId="8" fillId="0" borderId="0" xfId="1" applyFont="1" applyBorder="1" applyAlignment="1">
      <alignment wrapText="1"/>
    </xf>
    <xf numFmtId="4" fontId="14" fillId="0" borderId="0" xfId="0" applyNumberFormat="1" applyFont="1" applyAlignment="1">
      <alignment horizontal="center" wrapText="1"/>
    </xf>
    <xf numFmtId="166" fontId="14" fillId="0" borderId="0" xfId="1" applyNumberFormat="1" applyFont="1" applyBorder="1" applyAlignment="1">
      <alignment horizontal="center" wrapText="1"/>
    </xf>
    <xf numFmtId="4" fontId="14" fillId="0" borderId="0" xfId="1" applyNumberFormat="1" applyFont="1" applyBorder="1" applyAlignment="1">
      <alignment horizontal="center" wrapText="1"/>
    </xf>
    <xf numFmtId="166" fontId="0" fillId="0" borderId="0" xfId="0" applyNumberFormat="1" applyAlignment="1">
      <alignment wrapText="1"/>
    </xf>
    <xf numFmtId="174" fontId="14" fillId="0" borderId="0" xfId="0" applyNumberFormat="1" applyFont="1" applyAlignment="1">
      <alignment horizontal="center" wrapText="1"/>
    </xf>
    <xf numFmtId="4" fontId="8" fillId="0" borderId="0" xfId="0" applyNumberFormat="1" applyFont="1" applyAlignment="1">
      <alignment horizontal="center" wrapText="1"/>
    </xf>
    <xf numFmtId="4" fontId="6" fillId="0" borderId="0" xfId="1" applyNumberFormat="1" applyFont="1" applyBorder="1" applyAlignment="1">
      <alignment wrapText="1"/>
    </xf>
    <xf numFmtId="2" fontId="8" fillId="0" borderId="0" xfId="0" applyNumberFormat="1" applyFont="1" applyAlignment="1">
      <alignment horizontal="center" wrapText="1"/>
    </xf>
    <xf numFmtId="4" fontId="8" fillId="0" borderId="0" xfId="1" applyNumberFormat="1" applyFont="1" applyBorder="1" applyAlignment="1">
      <alignment wrapText="1"/>
    </xf>
    <xf numFmtId="166" fontId="8" fillId="0" borderId="0" xfId="0" applyNumberFormat="1" applyFont="1" applyAlignment="1">
      <alignment horizontal="center" wrapText="1"/>
    </xf>
    <xf numFmtId="0" fontId="16" fillId="0" borderId="0" xfId="0" applyFont="1" applyAlignment="1">
      <alignment horizontal="left" wrapText="1"/>
    </xf>
    <xf numFmtId="166" fontId="8" fillId="0" borderId="0" xfId="0" applyNumberFormat="1" applyFont="1" applyAlignment="1">
      <alignment wrapText="1"/>
    </xf>
    <xf numFmtId="9" fontId="6" fillId="0" borderId="0" xfId="3" applyFont="1" applyBorder="1" applyAlignment="1">
      <alignment horizontal="center" wrapText="1"/>
    </xf>
    <xf numFmtId="178" fontId="8" fillId="0" borderId="0" xfId="1" applyNumberFormat="1" applyFont="1" applyBorder="1" applyAlignment="1">
      <alignment wrapText="1"/>
    </xf>
    <xf numFmtId="2" fontId="0" fillId="0" borderId="0" xfId="0" applyNumberFormat="1"/>
    <xf numFmtId="0" fontId="26" fillId="0" borderId="0" xfId="0" applyFont="1" applyAlignment="1">
      <alignment vertical="center" wrapText="1"/>
    </xf>
    <xf numFmtId="4" fontId="20" fillId="0" borderId="0" xfId="15" applyNumberFormat="1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4" fontId="20" fillId="0" borderId="0" xfId="0" applyNumberFormat="1" applyFont="1" applyAlignment="1">
      <alignment horizontal="center" vertical="center" wrapText="1"/>
    </xf>
    <xf numFmtId="4" fontId="20" fillId="0" borderId="0" xfId="1" applyNumberFormat="1" applyFont="1" applyBorder="1" applyAlignment="1">
      <alignment horizontal="center" vertical="center" wrapText="1"/>
    </xf>
    <xf numFmtId="0" fontId="47" fillId="0" borderId="0" xfId="16"/>
    <xf numFmtId="0" fontId="7" fillId="0" borderId="20" xfId="16" applyFont="1" applyBorder="1" applyAlignment="1">
      <alignment horizontal="center"/>
    </xf>
    <xf numFmtId="0" fontId="7" fillId="0" borderId="0" xfId="16" applyFont="1" applyAlignment="1">
      <alignment horizontal="center"/>
    </xf>
    <xf numFmtId="0" fontId="8" fillId="0" borderId="24" xfId="16" applyFont="1" applyBorder="1" applyAlignment="1">
      <alignment horizontal="center"/>
    </xf>
    <xf numFmtId="0" fontId="6" fillId="0" borderId="20" xfId="16" applyFont="1" applyBorder="1" applyAlignment="1">
      <alignment horizontal="center"/>
    </xf>
    <xf numFmtId="0" fontId="6" fillId="0" borderId="0" xfId="16" applyFont="1" applyAlignment="1">
      <alignment horizontal="center"/>
    </xf>
    <xf numFmtId="0" fontId="8" fillId="0" borderId="24" xfId="16" applyFont="1" applyBorder="1"/>
    <xf numFmtId="0" fontId="8" fillId="0" borderId="20" xfId="16" applyFont="1" applyBorder="1"/>
    <xf numFmtId="0" fontId="6" fillId="0" borderId="0" xfId="16" applyFont="1" applyAlignment="1">
      <alignment horizontal="right"/>
    </xf>
    <xf numFmtId="0" fontId="6" fillId="0" borderId="0" xfId="16" applyFont="1"/>
    <xf numFmtId="49" fontId="6" fillId="0" borderId="0" xfId="16" applyNumberFormat="1" applyFont="1" applyAlignment="1">
      <alignment horizontal="right"/>
    </xf>
    <xf numFmtId="0" fontId="8" fillId="0" borderId="0" xfId="16" applyFont="1"/>
    <xf numFmtId="166" fontId="6" fillId="0" borderId="24" xfId="16" applyNumberFormat="1" applyFont="1" applyBorder="1" applyAlignment="1">
      <alignment horizontal="left"/>
    </xf>
    <xf numFmtId="0" fontId="6" fillId="0" borderId="0" xfId="16" applyFont="1" applyAlignment="1">
      <alignment horizontal="left"/>
    </xf>
    <xf numFmtId="17" fontId="6" fillId="0" borderId="0" xfId="16" applyNumberFormat="1" applyFont="1" applyAlignment="1">
      <alignment horizontal="right"/>
    </xf>
    <xf numFmtId="14" fontId="6" fillId="0" borderId="24" xfId="16" applyNumberFormat="1" applyFont="1" applyBorder="1"/>
    <xf numFmtId="0" fontId="28" fillId="0" borderId="0" xfId="16" applyFont="1"/>
    <xf numFmtId="0" fontId="6" fillId="6" borderId="2" xfId="16" applyFont="1" applyFill="1" applyBorder="1" applyAlignment="1">
      <alignment horizontal="center" vertical="top"/>
    </xf>
    <xf numFmtId="0" fontId="6" fillId="6" borderId="2" xfId="16" applyFont="1" applyFill="1" applyBorder="1" applyAlignment="1">
      <alignment horizontal="center"/>
    </xf>
    <xf numFmtId="165" fontId="6" fillId="6" borderId="2" xfId="17" applyFont="1" applyFill="1" applyBorder="1" applyAlignment="1">
      <alignment horizontal="center"/>
    </xf>
    <xf numFmtId="165" fontId="6" fillId="10" borderId="2" xfId="17" applyFont="1" applyFill="1" applyBorder="1" applyAlignment="1">
      <alignment horizontal="center"/>
    </xf>
    <xf numFmtId="2" fontId="6" fillId="10" borderId="2" xfId="16" applyNumberFormat="1" applyFont="1" applyFill="1" applyBorder="1" applyAlignment="1">
      <alignment horizontal="left" vertical="top"/>
    </xf>
    <xf numFmtId="0" fontId="6" fillId="10" borderId="2" xfId="16" applyFont="1" applyFill="1" applyBorder="1" applyAlignment="1">
      <alignment horizontal="center"/>
    </xf>
    <xf numFmtId="0" fontId="6" fillId="11" borderId="2" xfId="16" applyFont="1" applyFill="1" applyBorder="1" applyAlignment="1">
      <alignment horizontal="center"/>
    </xf>
    <xf numFmtId="165" fontId="6" fillId="11" borderId="2" xfId="17" applyFont="1" applyFill="1" applyBorder="1" applyAlignment="1">
      <alignment horizontal="center"/>
    </xf>
    <xf numFmtId="167" fontId="8" fillId="7" borderId="2" xfId="16" applyNumberFormat="1" applyFont="1" applyFill="1" applyBorder="1" applyAlignment="1">
      <alignment horizontal="center" vertical="top"/>
    </xf>
    <xf numFmtId="0" fontId="6" fillId="7" borderId="2" xfId="10" applyFont="1" applyFill="1" applyBorder="1" applyAlignment="1">
      <alignment vertical="center"/>
    </xf>
    <xf numFmtId="0" fontId="8" fillId="7" borderId="2" xfId="16" applyFont="1" applyFill="1" applyBorder="1"/>
    <xf numFmtId="0" fontId="8" fillId="7" borderId="2" xfId="16" applyFont="1" applyFill="1" applyBorder="1" applyAlignment="1">
      <alignment horizontal="center"/>
    </xf>
    <xf numFmtId="165" fontId="8" fillId="7" borderId="2" xfId="17" applyFont="1" applyFill="1" applyBorder="1"/>
    <xf numFmtId="165" fontId="8" fillId="17" borderId="2" xfId="17" applyFont="1" applyFill="1" applyBorder="1"/>
    <xf numFmtId="0" fontId="6" fillId="17" borderId="2" xfId="16" applyFont="1" applyFill="1" applyBorder="1" applyAlignment="1">
      <alignment horizontal="left" vertical="top"/>
    </xf>
    <xf numFmtId="0" fontId="6" fillId="17" borderId="2" xfId="16" applyFont="1" applyFill="1" applyBorder="1"/>
    <xf numFmtId="0" fontId="8" fillId="16" borderId="2" xfId="16" applyFont="1" applyFill="1" applyBorder="1" applyAlignment="1">
      <alignment horizontal="center"/>
    </xf>
    <xf numFmtId="165" fontId="8" fillId="16" borderId="2" xfId="17" applyFont="1" applyFill="1" applyBorder="1"/>
    <xf numFmtId="2" fontId="8" fillId="7" borderId="2" xfId="16" applyNumberFormat="1" applyFont="1" applyFill="1" applyBorder="1" applyAlignment="1">
      <alignment horizontal="center" vertical="top"/>
    </xf>
    <xf numFmtId="0" fontId="17" fillId="7" borderId="2" xfId="10" applyFont="1" applyFill="1" applyBorder="1" applyAlignment="1">
      <alignment horizontal="left" vertical="center" wrapText="1"/>
    </xf>
    <xf numFmtId="2" fontId="29" fillId="7" borderId="2" xfId="16" applyNumberFormat="1" applyFont="1" applyFill="1" applyBorder="1"/>
    <xf numFmtId="4" fontId="17" fillId="7" borderId="2" xfId="18" applyNumberFormat="1" applyFont="1" applyFill="1" applyBorder="1" applyAlignment="1">
      <alignment horizontal="center"/>
    </xf>
    <xf numFmtId="165" fontId="17" fillId="7" borderId="2" xfId="17" applyFont="1" applyFill="1" applyBorder="1" applyAlignment="1">
      <alignment wrapText="1"/>
    </xf>
    <xf numFmtId="165" fontId="8" fillId="17" borderId="2" xfId="17" applyFont="1" applyFill="1" applyBorder="1" applyAlignment="1">
      <alignment horizontal="center"/>
    </xf>
    <xf numFmtId="2" fontId="8" fillId="17" borderId="2" xfId="16" applyNumberFormat="1" applyFont="1" applyFill="1" applyBorder="1" applyAlignment="1">
      <alignment horizontal="right"/>
    </xf>
    <xf numFmtId="168" fontId="8" fillId="17" borderId="2" xfId="17" applyNumberFormat="1" applyFont="1" applyFill="1" applyBorder="1" applyAlignment="1"/>
    <xf numFmtId="165" fontId="8" fillId="16" borderId="2" xfId="16" applyNumberFormat="1" applyFont="1" applyFill="1" applyBorder="1"/>
    <xf numFmtId="165" fontId="8" fillId="16" borderId="2" xfId="17" applyFont="1" applyFill="1" applyBorder="1" applyAlignment="1">
      <alignment wrapText="1"/>
    </xf>
    <xf numFmtId="0" fontId="11" fillId="7" borderId="2" xfId="16" applyFont="1" applyFill="1" applyBorder="1" applyAlignment="1">
      <alignment horizontal="center" vertical="center"/>
    </xf>
    <xf numFmtId="165" fontId="17" fillId="7" borderId="2" xfId="17" applyFont="1" applyFill="1" applyBorder="1" applyAlignment="1">
      <alignment vertical="center"/>
    </xf>
    <xf numFmtId="165" fontId="17" fillId="7" borderId="2" xfId="17" applyFont="1" applyFill="1" applyBorder="1" applyAlignment="1">
      <alignment vertical="center" wrapText="1"/>
    </xf>
    <xf numFmtId="39" fontId="8" fillId="17" borderId="2" xfId="16" applyNumberFormat="1" applyFont="1" applyFill="1" applyBorder="1" applyAlignment="1">
      <alignment horizontal="right"/>
    </xf>
    <xf numFmtId="9" fontId="8" fillId="17" borderId="2" xfId="19" applyFont="1" applyFill="1" applyBorder="1" applyAlignment="1">
      <alignment horizontal="center"/>
    </xf>
    <xf numFmtId="39" fontId="8" fillId="16" borderId="2" xfId="17" applyNumberFormat="1" applyFont="1" applyFill="1" applyBorder="1" applyAlignment="1">
      <alignment wrapText="1"/>
    </xf>
    <xf numFmtId="0" fontId="17" fillId="7" borderId="2" xfId="16" applyFont="1" applyFill="1" applyBorder="1" applyAlignment="1">
      <alignment horizontal="left" vertical="center" wrapText="1"/>
    </xf>
    <xf numFmtId="165" fontId="17" fillId="7" borderId="2" xfId="17" applyFont="1" applyFill="1" applyBorder="1" applyAlignment="1"/>
    <xf numFmtId="178" fontId="6" fillId="16" borderId="2" xfId="20" applyNumberFormat="1" applyFont="1" applyFill="1" applyBorder="1" applyAlignment="1">
      <alignment wrapText="1"/>
    </xf>
    <xf numFmtId="0" fontId="6" fillId="7" borderId="2" xfId="16" applyFont="1" applyFill="1" applyBorder="1"/>
    <xf numFmtId="174" fontId="6" fillId="7" borderId="2" xfId="17" applyNumberFormat="1" applyFont="1" applyFill="1" applyBorder="1" applyAlignment="1">
      <alignment wrapText="1"/>
    </xf>
    <xf numFmtId="165" fontId="6" fillId="16" borderId="2" xfId="16" applyNumberFormat="1" applyFont="1" applyFill="1" applyBorder="1"/>
    <xf numFmtId="165" fontId="6" fillId="16" borderId="2" xfId="17" applyFont="1" applyFill="1" applyBorder="1" applyAlignment="1">
      <alignment wrapText="1"/>
    </xf>
    <xf numFmtId="165" fontId="6" fillId="16" borderId="2" xfId="17" applyFont="1" applyFill="1" applyBorder="1"/>
    <xf numFmtId="167" fontId="6" fillId="7" borderId="2" xfId="16" applyNumberFormat="1" applyFont="1" applyFill="1" applyBorder="1" applyAlignment="1">
      <alignment horizontal="center" vertical="top"/>
    </xf>
    <xf numFmtId="4" fontId="17" fillId="7" borderId="2" xfId="16" applyNumberFormat="1" applyFont="1" applyFill="1" applyBorder="1" applyAlignment="1">
      <alignment horizontal="center"/>
    </xf>
    <xf numFmtId="4" fontId="29" fillId="7" borderId="2" xfId="18" applyNumberFormat="1" applyFont="1" applyFill="1" applyBorder="1" applyAlignment="1">
      <alignment horizontal="center" vertical="center"/>
    </xf>
    <xf numFmtId="4" fontId="8" fillId="16" borderId="2" xfId="16" applyNumberFormat="1" applyFont="1" applyFill="1" applyBorder="1"/>
    <xf numFmtId="2" fontId="17" fillId="7" borderId="2" xfId="10" applyNumberFormat="1" applyFont="1" applyFill="1" applyBorder="1" applyAlignment="1">
      <alignment horizontal="center" vertical="center"/>
    </xf>
    <xf numFmtId="4" fontId="17" fillId="7" borderId="2" xfId="18" applyNumberFormat="1" applyFont="1" applyFill="1" applyBorder="1" applyAlignment="1">
      <alignment horizontal="center" vertical="center"/>
    </xf>
    <xf numFmtId="165" fontId="8" fillId="7" borderId="2" xfId="17" applyFont="1" applyFill="1" applyBorder="1" applyAlignment="1">
      <alignment horizontal="center" vertical="center" wrapText="1"/>
    </xf>
    <xf numFmtId="4" fontId="6" fillId="16" borderId="2" xfId="16" applyNumberFormat="1" applyFont="1" applyFill="1" applyBorder="1" applyAlignment="1">
      <alignment horizontal="center"/>
    </xf>
    <xf numFmtId="4" fontId="6" fillId="16" borderId="2" xfId="17" applyNumberFormat="1" applyFont="1" applyFill="1" applyBorder="1"/>
    <xf numFmtId="0" fontId="17" fillId="7" borderId="2" xfId="10" applyFont="1" applyFill="1" applyBorder="1" applyAlignment="1">
      <alignment vertical="center" wrapText="1"/>
    </xf>
    <xf numFmtId="4" fontId="17" fillId="7" borderId="2" xfId="18" applyNumberFormat="1" applyFont="1" applyFill="1" applyBorder="1" applyAlignment="1">
      <alignment horizontal="right" vertical="center"/>
    </xf>
    <xf numFmtId="165" fontId="8" fillId="7" borderId="2" xfId="17" applyFont="1" applyFill="1" applyBorder="1" applyAlignment="1">
      <alignment vertical="center" wrapText="1"/>
    </xf>
    <xf numFmtId="0" fontId="17" fillId="7" borderId="2" xfId="16" applyFont="1" applyFill="1" applyBorder="1"/>
    <xf numFmtId="2" fontId="41" fillId="7" borderId="2" xfId="10" applyNumberFormat="1" applyFont="1" applyFill="1" applyBorder="1" applyAlignment="1">
      <alignment horizontal="center"/>
    </xf>
    <xf numFmtId="4" fontId="8" fillId="16" borderId="2" xfId="16" applyNumberFormat="1" applyFont="1" applyFill="1" applyBorder="1" applyAlignment="1">
      <alignment horizontal="center"/>
    </xf>
    <xf numFmtId="2" fontId="8" fillId="7" borderId="2" xfId="16" applyNumberFormat="1" applyFont="1" applyFill="1" applyBorder="1" applyAlignment="1">
      <alignment horizontal="center" vertical="center"/>
    </xf>
    <xf numFmtId="0" fontId="17" fillId="7" borderId="2" xfId="16" applyFont="1" applyFill="1" applyBorder="1" applyAlignment="1">
      <alignment horizontal="left"/>
    </xf>
    <xf numFmtId="2" fontId="17" fillId="7" borderId="2" xfId="10" applyNumberFormat="1" applyFont="1" applyFill="1" applyBorder="1" applyAlignment="1">
      <alignment horizontal="center"/>
    </xf>
    <xf numFmtId="165" fontId="8" fillId="7" borderId="2" xfId="17" applyFont="1" applyFill="1" applyBorder="1" applyAlignment="1">
      <alignment horizontal="right" vertical="center"/>
    </xf>
    <xf numFmtId="0" fontId="17" fillId="7" borderId="2" xfId="16" applyFont="1" applyFill="1" applyBorder="1" applyAlignment="1">
      <alignment horizontal="left" wrapText="1"/>
    </xf>
    <xf numFmtId="2" fontId="41" fillId="7" borderId="2" xfId="10" applyNumberFormat="1" applyFont="1" applyFill="1" applyBorder="1" applyAlignment="1">
      <alignment horizontal="center" vertical="center"/>
    </xf>
    <xf numFmtId="165" fontId="8" fillId="7" borderId="2" xfId="17" applyFont="1" applyFill="1" applyBorder="1" applyAlignment="1">
      <alignment vertical="center"/>
    </xf>
    <xf numFmtId="165" fontId="6" fillId="7" borderId="2" xfId="17" applyFont="1" applyFill="1" applyBorder="1" applyAlignment="1">
      <alignment wrapText="1"/>
    </xf>
    <xf numFmtId="2" fontId="6" fillId="7" borderId="2" xfId="10" applyNumberFormat="1" applyFont="1" applyFill="1" applyBorder="1" applyAlignment="1">
      <alignment horizontal="center" vertical="center"/>
    </xf>
    <xf numFmtId="0" fontId="37" fillId="7" borderId="2" xfId="16" applyFont="1" applyFill="1" applyBorder="1" applyAlignment="1">
      <alignment horizontal="center" vertical="center"/>
    </xf>
    <xf numFmtId="165" fontId="8" fillId="7" borderId="2" xfId="17" applyFont="1" applyFill="1" applyBorder="1" applyAlignment="1">
      <alignment wrapText="1"/>
    </xf>
    <xf numFmtId="4" fontId="6" fillId="16" borderId="2" xfId="17" applyNumberFormat="1" applyFont="1" applyFill="1" applyBorder="1" applyAlignment="1">
      <alignment wrapText="1"/>
    </xf>
    <xf numFmtId="2" fontId="8" fillId="7" borderId="2" xfId="10" applyNumberFormat="1" applyFont="1" applyFill="1" applyBorder="1" applyAlignment="1">
      <alignment horizontal="center" vertical="center"/>
    </xf>
    <xf numFmtId="0" fontId="17" fillId="7" borderId="2" xfId="10" applyFont="1" applyFill="1" applyBorder="1" applyAlignment="1">
      <alignment horizontal="left" wrapText="1"/>
    </xf>
    <xf numFmtId="165" fontId="8" fillId="17" borderId="2" xfId="17" applyFont="1" applyFill="1" applyBorder="1" applyAlignment="1">
      <alignment vertical="center"/>
    </xf>
    <xf numFmtId="39" fontId="8" fillId="17" borderId="2" xfId="16" applyNumberFormat="1" applyFont="1" applyFill="1" applyBorder="1" applyAlignment="1">
      <alignment horizontal="right" vertical="center"/>
    </xf>
    <xf numFmtId="9" fontId="8" fillId="17" borderId="2" xfId="19" applyFont="1" applyFill="1" applyBorder="1" applyAlignment="1">
      <alignment horizontal="center" vertical="center"/>
    </xf>
    <xf numFmtId="4" fontId="8" fillId="16" borderId="2" xfId="16" applyNumberFormat="1" applyFont="1" applyFill="1" applyBorder="1" applyAlignment="1">
      <alignment horizontal="center" vertical="center"/>
    </xf>
    <xf numFmtId="4" fontId="8" fillId="16" borderId="2" xfId="17" applyNumberFormat="1" applyFont="1" applyFill="1" applyBorder="1" applyAlignment="1">
      <alignment vertical="center" wrapText="1"/>
    </xf>
    <xf numFmtId="165" fontId="8" fillId="16" borderId="2" xfId="17" applyFont="1" applyFill="1" applyBorder="1" applyAlignment="1">
      <alignment vertical="center"/>
    </xf>
    <xf numFmtId="0" fontId="17" fillId="7" borderId="2" xfId="10" applyFont="1" applyFill="1" applyBorder="1" applyAlignment="1">
      <alignment vertical="center"/>
    </xf>
    <xf numFmtId="4" fontId="8" fillId="16" borderId="2" xfId="17" applyNumberFormat="1" applyFont="1" applyFill="1" applyBorder="1" applyAlignment="1">
      <alignment wrapText="1"/>
    </xf>
    <xf numFmtId="165" fontId="8" fillId="7" borderId="2" xfId="17" applyFont="1" applyFill="1" applyBorder="1" applyAlignment="1">
      <alignment horizontal="center" vertical="center"/>
    </xf>
    <xf numFmtId="0" fontId="6" fillId="7" borderId="2" xfId="16" applyFont="1" applyFill="1" applyBorder="1" applyAlignment="1">
      <alignment wrapText="1"/>
    </xf>
    <xf numFmtId="39" fontId="6" fillId="16" borderId="2" xfId="17" applyNumberFormat="1" applyFont="1" applyFill="1" applyBorder="1" applyAlignment="1">
      <alignment wrapText="1"/>
    </xf>
    <xf numFmtId="165" fontId="8" fillId="16" borderId="2" xfId="17" applyFont="1" applyFill="1" applyBorder="1" applyAlignment="1"/>
    <xf numFmtId="39" fontId="8" fillId="16" borderId="2" xfId="17" applyNumberFormat="1" applyFont="1" applyFill="1" applyBorder="1" applyAlignment="1">
      <alignment vertical="center" wrapText="1"/>
    </xf>
    <xf numFmtId="0" fontId="6" fillId="7" borderId="2" xfId="16" applyFont="1" applyFill="1" applyBorder="1" applyAlignment="1">
      <alignment vertical="center" wrapText="1"/>
    </xf>
    <xf numFmtId="165" fontId="6" fillId="7" borderId="2" xfId="17" applyFont="1" applyFill="1" applyBorder="1" applyAlignment="1">
      <alignment vertical="center" wrapText="1"/>
    </xf>
    <xf numFmtId="165" fontId="6" fillId="16" borderId="2" xfId="17" applyFont="1" applyFill="1" applyBorder="1" applyAlignment="1"/>
    <xf numFmtId="0" fontId="8" fillId="7" borderId="2" xfId="16" applyFont="1" applyFill="1" applyBorder="1" applyAlignment="1">
      <alignment horizontal="center" vertical="center"/>
    </xf>
    <xf numFmtId="177" fontId="6" fillId="7" borderId="2" xfId="10" applyNumberFormat="1" applyFont="1" applyFill="1" applyBorder="1" applyAlignment="1">
      <alignment horizontal="center" vertical="center"/>
    </xf>
    <xf numFmtId="177" fontId="6" fillId="17" borderId="2" xfId="10" applyNumberFormat="1" applyFont="1" applyFill="1" applyBorder="1" applyAlignment="1">
      <alignment horizontal="center" vertical="center"/>
    </xf>
    <xf numFmtId="177" fontId="6" fillId="16" borderId="2" xfId="17" applyNumberFormat="1" applyFont="1" applyFill="1" applyBorder="1" applyAlignment="1">
      <alignment wrapText="1"/>
    </xf>
    <xf numFmtId="0" fontId="28" fillId="7" borderId="2" xfId="16" applyFont="1" applyFill="1" applyBorder="1" applyAlignment="1">
      <alignment vertical="center"/>
    </xf>
    <xf numFmtId="0" fontId="17" fillId="7" borderId="2" xfId="16" applyFont="1" applyFill="1" applyBorder="1" applyAlignment="1">
      <alignment horizontal="center"/>
    </xf>
    <xf numFmtId="165" fontId="17" fillId="7" borderId="2" xfId="17" applyFont="1" applyFill="1" applyBorder="1" applyAlignment="1">
      <alignment horizontal="right"/>
    </xf>
    <xf numFmtId="0" fontId="17" fillId="7" borderId="2" xfId="16" applyFont="1" applyFill="1" applyBorder="1" applyAlignment="1">
      <alignment vertical="center"/>
    </xf>
    <xf numFmtId="165" fontId="17" fillId="7" borderId="2" xfId="18" applyFont="1" applyFill="1" applyBorder="1" applyAlignment="1">
      <alignment vertical="center"/>
    </xf>
    <xf numFmtId="0" fontId="28" fillId="7" borderId="2" xfId="16" applyFont="1" applyFill="1" applyBorder="1" applyAlignment="1">
      <alignment wrapText="1"/>
    </xf>
    <xf numFmtId="0" fontId="11" fillId="7" borderId="2" xfId="16" applyFont="1" applyFill="1" applyBorder="1"/>
    <xf numFmtId="165" fontId="10" fillId="7" borderId="2" xfId="16" applyNumberFormat="1" applyFont="1" applyFill="1" applyBorder="1"/>
    <xf numFmtId="0" fontId="6" fillId="7" borderId="2" xfId="16" applyFont="1" applyFill="1" applyBorder="1" applyAlignment="1">
      <alignment vertical="center"/>
    </xf>
    <xf numFmtId="2" fontId="6" fillId="7" borderId="2" xfId="10" applyNumberFormat="1" applyFont="1" applyFill="1" applyBorder="1" applyAlignment="1">
      <alignment horizontal="center" vertical="center" wrapText="1"/>
    </xf>
    <xf numFmtId="165" fontId="8" fillId="7" borderId="2" xfId="17" applyFont="1" applyFill="1" applyBorder="1" applyAlignment="1"/>
    <xf numFmtId="4" fontId="11" fillId="7" borderId="2" xfId="16" applyNumberFormat="1" applyFont="1" applyFill="1" applyBorder="1"/>
    <xf numFmtId="0" fontId="29" fillId="7" borderId="2" xfId="16" applyFont="1" applyFill="1" applyBorder="1" applyAlignment="1">
      <alignment horizontal="center" vertical="center"/>
    </xf>
    <xf numFmtId="0" fontId="8" fillId="0" borderId="0" xfId="16" applyFont="1" applyAlignment="1">
      <alignment horizontal="center" vertical="center"/>
    </xf>
    <xf numFmtId="2" fontId="6" fillId="7" borderId="19" xfId="10" applyNumberFormat="1" applyFont="1" applyFill="1" applyBorder="1" applyAlignment="1">
      <alignment horizontal="center" vertical="center"/>
    </xf>
    <xf numFmtId="2" fontId="41" fillId="7" borderId="19" xfId="10" applyNumberFormat="1" applyFont="1" applyFill="1" applyBorder="1" applyAlignment="1">
      <alignment horizontal="center" vertical="center"/>
    </xf>
    <xf numFmtId="177" fontId="6" fillId="7" borderId="19" xfId="10" applyNumberFormat="1" applyFont="1" applyFill="1" applyBorder="1" applyAlignment="1">
      <alignment horizontal="center" vertical="center"/>
    </xf>
    <xf numFmtId="177" fontId="6" fillId="0" borderId="0" xfId="10" applyNumberFormat="1" applyFont="1" applyAlignment="1">
      <alignment horizontal="center" vertical="center"/>
    </xf>
    <xf numFmtId="4" fontId="6" fillId="0" borderId="0" xfId="16" applyNumberFormat="1" applyFont="1" applyAlignment="1">
      <alignment horizontal="center"/>
    </xf>
    <xf numFmtId="177" fontId="6" fillId="0" borderId="0" xfId="17" applyNumberFormat="1" applyFont="1" applyFill="1" applyBorder="1" applyAlignment="1">
      <alignment wrapText="1"/>
    </xf>
    <xf numFmtId="4" fontId="6" fillId="0" borderId="0" xfId="17" applyNumberFormat="1" applyFont="1" applyFill="1" applyBorder="1"/>
    <xf numFmtId="2" fontId="6" fillId="0" borderId="0" xfId="10" applyNumberFormat="1" applyFont="1" applyAlignment="1">
      <alignment horizontal="center" vertical="center"/>
    </xf>
    <xf numFmtId="2" fontId="17" fillId="0" borderId="0" xfId="10" applyNumberFormat="1" applyFont="1" applyAlignment="1">
      <alignment horizontal="center" vertical="center"/>
    </xf>
    <xf numFmtId="2" fontId="41" fillId="0" borderId="0" xfId="10" applyNumberFormat="1" applyFont="1" applyAlignment="1">
      <alignment horizontal="center" vertical="center"/>
    </xf>
    <xf numFmtId="0" fontId="11" fillId="13" borderId="0" xfId="16" applyFont="1" applyFill="1" applyAlignment="1">
      <alignment horizontal="center"/>
    </xf>
    <xf numFmtId="0" fontId="6" fillId="7" borderId="0" xfId="10" applyFont="1" applyFill="1" applyAlignment="1">
      <alignment vertical="center"/>
    </xf>
    <xf numFmtId="0" fontId="17" fillId="7" borderId="0" xfId="10" applyFont="1" applyFill="1" applyAlignment="1">
      <alignment vertical="center"/>
    </xf>
    <xf numFmtId="0" fontId="29" fillId="7" borderId="0" xfId="16" applyFont="1" applyFill="1" applyAlignment="1">
      <alignment horizontal="center" vertical="center"/>
    </xf>
    <xf numFmtId="2" fontId="17" fillId="7" borderId="0" xfId="10" applyNumberFormat="1" applyFont="1" applyFill="1" applyAlignment="1">
      <alignment horizontal="center" vertical="center"/>
    </xf>
    <xf numFmtId="4" fontId="17" fillId="7" borderId="0" xfId="18" applyNumberFormat="1" applyFont="1" applyFill="1" applyBorder="1" applyAlignment="1">
      <alignment horizontal="center" vertical="center"/>
    </xf>
    <xf numFmtId="165" fontId="8" fillId="7" borderId="0" xfId="17" applyFont="1" applyFill="1" applyBorder="1" applyAlignment="1">
      <alignment wrapText="1"/>
    </xf>
    <xf numFmtId="39" fontId="8" fillId="17" borderId="0" xfId="10" applyNumberFormat="1" applyFont="1" applyFill="1" applyAlignment="1">
      <alignment horizontal="center" vertical="center"/>
    </xf>
    <xf numFmtId="39" fontId="8" fillId="17" borderId="0" xfId="16" applyNumberFormat="1" applyFont="1" applyFill="1" applyAlignment="1">
      <alignment horizontal="right" vertical="center"/>
    </xf>
    <xf numFmtId="9" fontId="8" fillId="17" borderId="0" xfId="19" applyFont="1" applyFill="1" applyBorder="1" applyAlignment="1">
      <alignment horizontal="center" vertical="center"/>
    </xf>
    <xf numFmtId="4" fontId="8" fillId="16" borderId="0" xfId="16" applyNumberFormat="1" applyFont="1" applyFill="1" applyAlignment="1">
      <alignment horizontal="center"/>
    </xf>
    <xf numFmtId="39" fontId="8" fillId="16" borderId="0" xfId="17" applyNumberFormat="1" applyFont="1" applyFill="1" applyBorder="1" applyAlignment="1">
      <alignment vertical="center" wrapText="1"/>
    </xf>
    <xf numFmtId="39" fontId="8" fillId="16" borderId="0" xfId="17" applyNumberFormat="1" applyFont="1" applyFill="1" applyBorder="1" applyAlignment="1">
      <alignment vertical="center"/>
    </xf>
    <xf numFmtId="0" fontId="17" fillId="0" borderId="0" xfId="10" applyFont="1" applyAlignment="1">
      <alignment vertical="center"/>
    </xf>
    <xf numFmtId="0" fontId="29" fillId="0" borderId="0" xfId="16" applyFont="1" applyAlignment="1">
      <alignment horizontal="center" vertical="center"/>
    </xf>
    <xf numFmtId="4" fontId="17" fillId="0" borderId="0" xfId="18" applyNumberFormat="1" applyFont="1" applyFill="1" applyBorder="1" applyAlignment="1">
      <alignment horizontal="center" vertical="center"/>
    </xf>
    <xf numFmtId="165" fontId="8" fillId="0" borderId="0" xfId="17" applyFont="1" applyFill="1" applyBorder="1" applyAlignment="1">
      <alignment wrapText="1"/>
    </xf>
    <xf numFmtId="39" fontId="6" fillId="0" borderId="0" xfId="10" applyNumberFormat="1" applyFont="1" applyAlignment="1">
      <alignment horizontal="center" vertical="center"/>
    </xf>
    <xf numFmtId="39" fontId="8" fillId="0" borderId="0" xfId="16" applyNumberFormat="1" applyFont="1" applyAlignment="1">
      <alignment horizontal="right" vertical="center"/>
    </xf>
    <xf numFmtId="9" fontId="8" fillId="0" borderId="0" xfId="19" applyFont="1" applyFill="1" applyBorder="1" applyAlignment="1">
      <alignment horizontal="center" vertical="center"/>
    </xf>
    <xf numFmtId="39" fontId="6" fillId="0" borderId="0" xfId="17" applyNumberFormat="1" applyFont="1" applyFill="1" applyBorder="1" applyAlignment="1">
      <alignment vertical="center" wrapText="1"/>
    </xf>
    <xf numFmtId="39" fontId="6" fillId="16" borderId="0" xfId="17" applyNumberFormat="1" applyFont="1" applyFill="1" applyBorder="1" applyAlignment="1">
      <alignment vertical="center"/>
    </xf>
    <xf numFmtId="0" fontId="8" fillId="0" borderId="0" xfId="16" applyFont="1" applyAlignment="1">
      <alignment horizontal="center"/>
    </xf>
    <xf numFmtId="166" fontId="6" fillId="0" borderId="0" xfId="16" applyNumberFormat="1" applyFont="1" applyAlignment="1">
      <alignment horizontal="left"/>
    </xf>
    <xf numFmtId="14" fontId="6" fillId="0" borderId="0" xfId="16" applyNumberFormat="1" applyFont="1"/>
    <xf numFmtId="9" fontId="6" fillId="0" borderId="0" xfId="19" applyFont="1" applyBorder="1"/>
    <xf numFmtId="174" fontId="6" fillId="0" borderId="0" xfId="16" applyNumberFormat="1" applyFont="1" applyAlignment="1">
      <alignment horizontal="center"/>
    </xf>
    <xf numFmtId="177" fontId="6" fillId="0" borderId="0" xfId="16" applyNumberFormat="1" applyFont="1"/>
    <xf numFmtId="174" fontId="6" fillId="0" borderId="0" xfId="17" applyNumberFormat="1" applyFont="1" applyBorder="1" applyAlignment="1">
      <alignment horizontal="center"/>
    </xf>
    <xf numFmtId="0" fontId="8" fillId="0" borderId="0" xfId="16" applyFont="1" applyAlignment="1">
      <alignment horizontal="left" vertical="top"/>
    </xf>
    <xf numFmtId="171" fontId="6" fillId="0" borderId="0" xfId="16" applyNumberFormat="1" applyFont="1" applyAlignment="1">
      <alignment horizontal="center"/>
    </xf>
    <xf numFmtId="172" fontId="6" fillId="0" borderId="0" xfId="17" applyNumberFormat="1" applyFont="1" applyBorder="1"/>
    <xf numFmtId="177" fontId="6" fillId="0" borderId="0" xfId="17" applyNumberFormat="1" applyFont="1" applyBorder="1" applyAlignment="1"/>
    <xf numFmtId="9" fontId="6" fillId="0" borderId="0" xfId="16" applyNumberFormat="1" applyFont="1" applyAlignment="1">
      <alignment horizontal="center"/>
    </xf>
    <xf numFmtId="174" fontId="6" fillId="0" borderId="0" xfId="17" applyNumberFormat="1" applyFont="1" applyBorder="1" applyAlignment="1"/>
    <xf numFmtId="177" fontId="6" fillId="0" borderId="0" xfId="16" applyNumberFormat="1" applyFont="1" applyAlignment="1">
      <alignment horizontal="center"/>
    </xf>
    <xf numFmtId="10" fontId="6" fillId="0" borderId="0" xfId="16" applyNumberFormat="1" applyFont="1" applyAlignment="1">
      <alignment horizontal="center"/>
    </xf>
    <xf numFmtId="9" fontId="6" fillId="0" borderId="0" xfId="19" applyFont="1" applyBorder="1" applyAlignment="1">
      <alignment horizontal="center"/>
    </xf>
    <xf numFmtId="174" fontId="6" fillId="0" borderId="0" xfId="16" applyNumberFormat="1" applyFont="1"/>
    <xf numFmtId="0" fontId="48" fillId="0" borderId="0" xfId="16" applyFont="1"/>
    <xf numFmtId="9" fontId="14" fillId="0" borderId="0" xfId="16" applyNumberFormat="1" applyFont="1" applyAlignment="1">
      <alignment horizontal="center"/>
    </xf>
    <xf numFmtId="174" fontId="14" fillId="0" borderId="0" xfId="17" applyNumberFormat="1" applyFont="1" applyBorder="1" applyAlignment="1">
      <alignment horizontal="center"/>
    </xf>
    <xf numFmtId="177" fontId="14" fillId="0" borderId="0" xfId="17" applyNumberFormat="1" applyFont="1" applyBorder="1"/>
    <xf numFmtId="196" fontId="8" fillId="0" borderId="0" xfId="16" applyNumberFormat="1" applyFont="1" applyAlignment="1">
      <alignment horizontal="left" vertical="top"/>
    </xf>
    <xf numFmtId="196" fontId="8" fillId="0" borderId="0" xfId="16" applyNumberFormat="1" applyFont="1"/>
    <xf numFmtId="196" fontId="14" fillId="0" borderId="0" xfId="16" applyNumberFormat="1" applyFont="1" applyAlignment="1">
      <alignment horizontal="center"/>
    </xf>
    <xf numFmtId="177" fontId="14" fillId="0" borderId="0" xfId="17" applyNumberFormat="1" applyFont="1" applyBorder="1" applyAlignment="1">
      <alignment horizontal="center"/>
    </xf>
    <xf numFmtId="171" fontId="27" fillId="0" borderId="0" xfId="16" applyNumberFormat="1" applyFont="1" applyAlignment="1">
      <alignment horizontal="center"/>
    </xf>
    <xf numFmtId="174" fontId="27" fillId="0" borderId="0" xfId="17" applyNumberFormat="1" applyFont="1" applyBorder="1" applyAlignment="1">
      <alignment horizontal="center"/>
    </xf>
    <xf numFmtId="165" fontId="6" fillId="0" borderId="0" xfId="17" applyFont="1" applyBorder="1"/>
    <xf numFmtId="177" fontId="8" fillId="0" borderId="0" xfId="17" applyNumberFormat="1" applyFont="1" applyBorder="1"/>
    <xf numFmtId="196" fontId="8" fillId="0" borderId="0" xfId="16" applyNumberFormat="1" applyFont="1" applyAlignment="1">
      <alignment horizontal="center"/>
    </xf>
    <xf numFmtId="0" fontId="15" fillId="0" borderId="0" xfId="16" applyFont="1"/>
    <xf numFmtId="171" fontId="14" fillId="0" borderId="0" xfId="16" applyNumberFormat="1" applyFont="1" applyAlignment="1">
      <alignment horizontal="center"/>
    </xf>
    <xf numFmtId="0" fontId="14" fillId="0" borderId="0" xfId="16" applyFont="1" applyAlignment="1">
      <alignment horizontal="center"/>
    </xf>
    <xf numFmtId="195" fontId="6" fillId="0" borderId="0" xfId="16" applyNumberFormat="1" applyFont="1" applyAlignment="1">
      <alignment horizontal="center"/>
    </xf>
    <xf numFmtId="172" fontId="8" fillId="0" borderId="0" xfId="17" applyNumberFormat="1" applyFont="1" applyBorder="1"/>
    <xf numFmtId="9" fontId="8" fillId="0" borderId="0" xfId="16" applyNumberFormat="1" applyFont="1" applyAlignment="1">
      <alignment horizontal="center"/>
    </xf>
    <xf numFmtId="165" fontId="8" fillId="0" borderId="0" xfId="17" applyFont="1" applyBorder="1"/>
    <xf numFmtId="0" fontId="16" fillId="0" borderId="0" xfId="16" applyFont="1" applyAlignment="1">
      <alignment horizontal="left"/>
    </xf>
    <xf numFmtId="177" fontId="8" fillId="0" borderId="0" xfId="16" applyNumberFormat="1" applyFont="1"/>
    <xf numFmtId="177" fontId="28" fillId="0" borderId="0" xfId="16" applyNumberFormat="1" applyFont="1"/>
    <xf numFmtId="196" fontId="6" fillId="0" borderId="0" xfId="16" applyNumberFormat="1" applyFont="1"/>
    <xf numFmtId="196" fontId="6" fillId="0" borderId="0" xfId="16" applyNumberFormat="1" applyFont="1" applyAlignment="1">
      <alignment horizontal="center"/>
    </xf>
    <xf numFmtId="178" fontId="6" fillId="0" borderId="0" xfId="16" applyNumberFormat="1" applyFont="1" applyAlignment="1">
      <alignment horizontal="center"/>
    </xf>
    <xf numFmtId="196" fontId="47" fillId="0" borderId="0" xfId="16" applyNumberFormat="1"/>
    <xf numFmtId="196" fontId="14" fillId="0" borderId="0" xfId="17" applyNumberFormat="1" applyFont="1" applyBorder="1"/>
    <xf numFmtId="178" fontId="27" fillId="0" borderId="0" xfId="16" applyNumberFormat="1" applyFont="1" applyAlignment="1">
      <alignment horizontal="center"/>
    </xf>
    <xf numFmtId="196" fontId="8" fillId="0" borderId="0" xfId="17" applyNumberFormat="1" applyFont="1" applyBorder="1"/>
    <xf numFmtId="177" fontId="14" fillId="0" borderId="0" xfId="16" applyNumberFormat="1" applyFont="1" applyAlignment="1">
      <alignment horizontal="center"/>
    </xf>
    <xf numFmtId="178" fontId="14" fillId="0" borderId="0" xfId="16" applyNumberFormat="1" applyFont="1" applyAlignment="1">
      <alignment horizontal="center"/>
    </xf>
    <xf numFmtId="4" fontId="22" fillId="0" borderId="0" xfId="16" applyNumberFormat="1" applyFont="1"/>
    <xf numFmtId="196" fontId="6" fillId="0" borderId="0" xfId="17" applyNumberFormat="1" applyFont="1" applyBorder="1" applyAlignment="1">
      <alignment horizontal="center"/>
    </xf>
    <xf numFmtId="39" fontId="6" fillId="0" borderId="0" xfId="16" applyNumberFormat="1" applyFont="1"/>
    <xf numFmtId="4" fontId="6" fillId="0" borderId="0" xfId="17" applyNumberFormat="1" applyFont="1" applyBorder="1" applyAlignment="1">
      <alignment horizontal="center"/>
    </xf>
    <xf numFmtId="178" fontId="8" fillId="0" borderId="0" xfId="17" applyNumberFormat="1" applyFont="1" applyBorder="1"/>
    <xf numFmtId="172" fontId="6" fillId="0" borderId="0" xfId="16" applyNumberFormat="1" applyFont="1" applyAlignment="1">
      <alignment horizontal="center"/>
    </xf>
    <xf numFmtId="0" fontId="11" fillId="0" borderId="0" xfId="16" applyFont="1" applyAlignment="1">
      <alignment horizontal="center"/>
    </xf>
    <xf numFmtId="0" fontId="6" fillId="0" borderId="0" xfId="16" applyFont="1" applyAlignment="1">
      <alignment wrapText="1"/>
    </xf>
    <xf numFmtId="165" fontId="8" fillId="0" borderId="0" xfId="17" applyFont="1" applyFill="1" applyBorder="1"/>
    <xf numFmtId="0" fontId="8" fillId="0" borderId="0" xfId="16" applyFont="1" applyAlignment="1">
      <alignment wrapText="1"/>
    </xf>
    <xf numFmtId="0" fontId="49" fillId="0" borderId="0" xfId="0" applyFont="1" applyAlignment="1">
      <alignment horizontal="center"/>
    </xf>
    <xf numFmtId="0" fontId="22" fillId="0" borderId="0" xfId="0" applyFont="1"/>
    <xf numFmtId="165" fontId="30" fillId="0" borderId="0" xfId="1" applyFont="1" applyBorder="1" applyAlignment="1">
      <alignment horizontal="center"/>
    </xf>
    <xf numFmtId="167" fontId="8" fillId="7" borderId="2" xfId="0" applyNumberFormat="1" applyFont="1" applyFill="1" applyBorder="1" applyAlignment="1">
      <alignment horizontal="center" vertical="top"/>
    </xf>
    <xf numFmtId="165" fontId="22" fillId="0" borderId="0" xfId="1" applyFont="1" applyBorder="1"/>
    <xf numFmtId="165" fontId="8" fillId="7" borderId="2" xfId="1" applyFont="1" applyFill="1" applyBorder="1" applyAlignment="1">
      <alignment wrapText="1"/>
    </xf>
    <xf numFmtId="4" fontId="8" fillId="17" borderId="2" xfId="3" applyNumberFormat="1" applyFont="1" applyFill="1" applyBorder="1" applyAlignment="1"/>
    <xf numFmtId="166" fontId="6" fillId="7" borderId="2" xfId="1" applyNumberFormat="1" applyFont="1" applyFill="1" applyBorder="1" applyAlignment="1">
      <alignment wrapText="1"/>
    </xf>
    <xf numFmtId="174" fontId="6" fillId="7" borderId="2" xfId="1" applyNumberFormat="1" applyFont="1" applyFill="1" applyBorder="1" applyAlignment="1">
      <alignment wrapText="1"/>
    </xf>
    <xf numFmtId="165" fontId="8" fillId="7" borderId="2" xfId="1" applyFont="1" applyFill="1" applyBorder="1" applyAlignment="1">
      <alignment horizontal="center"/>
    </xf>
    <xf numFmtId="0" fontId="8" fillId="17" borderId="2" xfId="3" applyNumberFormat="1" applyFont="1" applyFill="1" applyBorder="1" applyAlignment="1"/>
    <xf numFmtId="184" fontId="8" fillId="17" borderId="2" xfId="1" applyNumberFormat="1" applyFont="1" applyFill="1" applyBorder="1"/>
    <xf numFmtId="165" fontId="8" fillId="17" borderId="2" xfId="3" applyNumberFormat="1" applyFont="1" applyFill="1" applyBorder="1" applyAlignment="1"/>
    <xf numFmtId="4" fontId="6" fillId="16" borderId="2" xfId="0" applyNumberFormat="1" applyFont="1" applyFill="1" applyBorder="1" applyAlignment="1">
      <alignment horizontal="right"/>
    </xf>
    <xf numFmtId="0" fontId="10" fillId="7" borderId="2" xfId="0" applyFont="1" applyFill="1" applyBorder="1" applyAlignment="1">
      <alignment horizontal="left" wrapText="1"/>
    </xf>
    <xf numFmtId="165" fontId="11" fillId="7" borderId="2" xfId="1" applyFont="1" applyFill="1" applyBorder="1"/>
    <xf numFmtId="165" fontId="11" fillId="7" borderId="2" xfId="1" applyFont="1" applyFill="1" applyBorder="1" applyAlignment="1">
      <alignment wrapText="1"/>
    </xf>
    <xf numFmtId="2" fontId="8" fillId="17" borderId="2" xfId="3" applyNumberFormat="1" applyFont="1" applyFill="1" applyBorder="1" applyAlignment="1"/>
    <xf numFmtId="165" fontId="6" fillId="7" borderId="2" xfId="1" applyFont="1" applyFill="1" applyBorder="1" applyAlignment="1">
      <alignment wrapText="1"/>
    </xf>
    <xf numFmtId="2" fontId="17" fillId="7" borderId="2" xfId="0" applyNumberFormat="1" applyFont="1" applyFill="1" applyBorder="1" applyAlignment="1">
      <alignment horizontal="center"/>
    </xf>
    <xf numFmtId="0" fontId="6" fillId="13" borderId="2" xfId="0" applyFont="1" applyFill="1" applyBorder="1" applyAlignment="1">
      <alignment horizontal="left" wrapText="1"/>
    </xf>
    <xf numFmtId="0" fontId="28" fillId="7" borderId="2" xfId="0" applyFont="1" applyFill="1" applyBorder="1" applyAlignment="1">
      <alignment horizontal="left" wrapText="1"/>
    </xf>
    <xf numFmtId="4" fontId="8" fillId="16" borderId="2" xfId="0" applyNumberFormat="1" applyFont="1" applyFill="1" applyBorder="1" applyAlignment="1">
      <alignment horizontal="right"/>
    </xf>
    <xf numFmtId="39" fontId="8" fillId="16" borderId="2" xfId="1" applyNumberFormat="1" applyFont="1" applyFill="1" applyBorder="1"/>
    <xf numFmtId="168" fontId="8" fillId="17" borderId="2" xfId="1" applyNumberFormat="1" applyFont="1" applyFill="1" applyBorder="1" applyAlignment="1"/>
    <xf numFmtId="39" fontId="6" fillId="16" borderId="2" xfId="1" applyNumberFormat="1" applyFont="1" applyFill="1" applyBorder="1" applyAlignment="1">
      <alignment horizontal="right"/>
    </xf>
    <xf numFmtId="174" fontId="6" fillId="7" borderId="2" xfId="0" applyNumberFormat="1" applyFont="1" applyFill="1" applyBorder="1" applyAlignment="1">
      <alignment horizontal="right"/>
    </xf>
    <xf numFmtId="166" fontId="6" fillId="16" borderId="2" xfId="1" applyNumberFormat="1" applyFont="1" applyFill="1" applyBorder="1" applyAlignment="1">
      <alignment wrapText="1"/>
    </xf>
    <xf numFmtId="166" fontId="6" fillId="16" borderId="2" xfId="1" applyNumberFormat="1" applyFont="1" applyFill="1" applyBorder="1"/>
    <xf numFmtId="0" fontId="28" fillId="0" borderId="0" xfId="0" applyFont="1"/>
    <xf numFmtId="174" fontId="25" fillId="0" borderId="0" xfId="0" applyNumberFormat="1" applyFont="1"/>
    <xf numFmtId="2" fontId="8" fillId="0" borderId="0" xfId="0" applyNumberFormat="1" applyFont="1" applyAlignment="1">
      <alignment horizontal="center"/>
    </xf>
    <xf numFmtId="4" fontId="8" fillId="0" borderId="0" xfId="0" applyNumberFormat="1" applyFont="1" applyAlignment="1">
      <alignment horizontal="right"/>
    </xf>
    <xf numFmtId="165" fontId="8" fillId="0" borderId="0" xfId="3" applyNumberFormat="1" applyFont="1" applyFill="1" applyBorder="1" applyAlignment="1"/>
    <xf numFmtId="165" fontId="8" fillId="0" borderId="0" xfId="1" applyFont="1" applyFill="1" applyBorder="1" applyAlignment="1">
      <alignment horizontal="center"/>
    </xf>
    <xf numFmtId="165" fontId="8" fillId="0" borderId="0" xfId="1" applyFont="1" applyFill="1" applyBorder="1" applyAlignment="1">
      <alignment wrapText="1"/>
    </xf>
    <xf numFmtId="167" fontId="8" fillId="0" borderId="0" xfId="0" applyNumberFormat="1" applyFont="1" applyAlignment="1">
      <alignment horizontal="center" vertical="top"/>
    </xf>
    <xf numFmtId="2" fontId="8" fillId="0" borderId="0" xfId="0" applyNumberFormat="1" applyFont="1" applyAlignment="1">
      <alignment horizontal="center" vertical="top"/>
    </xf>
    <xf numFmtId="39" fontId="8" fillId="0" borderId="0" xfId="3" applyNumberFormat="1" applyFont="1" applyFill="1" applyBorder="1" applyAlignment="1"/>
    <xf numFmtId="39" fontId="8" fillId="0" borderId="0" xfId="1" applyNumberFormat="1" applyFont="1" applyFill="1" applyBorder="1"/>
    <xf numFmtId="2" fontId="41" fillId="0" borderId="0" xfId="0" applyNumberFormat="1" applyFont="1" applyAlignment="1">
      <alignment horizontal="center"/>
    </xf>
    <xf numFmtId="165" fontId="28" fillId="0" borderId="0" xfId="0" applyNumberFormat="1" applyFont="1" applyAlignment="1">
      <alignment horizontal="center"/>
    </xf>
    <xf numFmtId="165" fontId="41" fillId="0" borderId="0" xfId="1" applyFont="1" applyFill="1" applyBorder="1"/>
    <xf numFmtId="168" fontId="41" fillId="0" borderId="0" xfId="0" applyNumberFormat="1" applyFont="1" applyAlignment="1">
      <alignment wrapText="1"/>
    </xf>
    <xf numFmtId="174" fontId="6" fillId="0" borderId="0" xfId="1" applyNumberFormat="1" applyFont="1" applyFill="1" applyBorder="1" applyAlignment="1">
      <alignment horizontal="center"/>
    </xf>
    <xf numFmtId="174" fontId="6" fillId="0" borderId="0" xfId="1" applyNumberFormat="1" applyFont="1" applyFill="1" applyBorder="1" applyAlignment="1">
      <alignment horizontal="right"/>
    </xf>
    <xf numFmtId="165" fontId="25" fillId="0" borderId="0" xfId="0" applyNumberFormat="1" applyFont="1"/>
    <xf numFmtId="4" fontId="6" fillId="0" borderId="0" xfId="1" applyNumberFormat="1" applyFont="1" applyBorder="1" applyAlignment="1"/>
    <xf numFmtId="179" fontId="1" fillId="0" borderId="0" xfId="1" applyNumberFormat="1" applyBorder="1"/>
    <xf numFmtId="4" fontId="14" fillId="0" borderId="0" xfId="1" applyNumberFormat="1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166" fontId="10" fillId="0" borderId="0" xfId="0" applyNumberFormat="1" applyFont="1" applyAlignment="1">
      <alignment horizontal="center"/>
    </xf>
    <xf numFmtId="166" fontId="6" fillId="0" borderId="0" xfId="1" applyNumberFormat="1" applyFont="1" applyBorder="1" applyAlignment="1">
      <alignment horizontal="center"/>
    </xf>
    <xf numFmtId="40" fontId="10" fillId="0" borderId="0" xfId="0" applyNumberFormat="1" applyFont="1" applyAlignment="1">
      <alignment horizontal="center"/>
    </xf>
    <xf numFmtId="166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70" fontId="10" fillId="0" borderId="0" xfId="0" applyNumberFormat="1" applyFont="1" applyAlignment="1">
      <alignment horizontal="center"/>
    </xf>
    <xf numFmtId="0" fontId="11" fillId="0" borderId="0" xfId="0" applyFont="1" applyAlignment="1">
      <alignment horizontal="center"/>
    </xf>
    <xf numFmtId="4" fontId="6" fillId="0" borderId="0" xfId="1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7" fillId="6" borderId="2" xfId="0" applyFont="1" applyFill="1" applyBorder="1" applyAlignment="1">
      <alignment horizontal="center"/>
    </xf>
    <xf numFmtId="0" fontId="9" fillId="2" borderId="1" xfId="4" applyFont="1" applyAlignment="1">
      <alignment horizontal="center"/>
    </xf>
    <xf numFmtId="0" fontId="10" fillId="4" borderId="2" xfId="6" applyFont="1" applyBorder="1" applyAlignment="1">
      <alignment horizontal="center"/>
    </xf>
    <xf numFmtId="0" fontId="10" fillId="0" borderId="0" xfId="0" applyFont="1" applyAlignment="1">
      <alignment horizontal="center" wrapText="1"/>
    </xf>
    <xf numFmtId="172" fontId="6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174" fontId="10" fillId="0" borderId="0" xfId="0" applyNumberFormat="1" applyFont="1" applyAlignment="1">
      <alignment horizontal="center"/>
    </xf>
    <xf numFmtId="174" fontId="6" fillId="14" borderId="0" xfId="0" applyNumberFormat="1" applyFont="1" applyFill="1" applyAlignment="1">
      <alignment horizontal="center"/>
    </xf>
    <xf numFmtId="174" fontId="6" fillId="0" borderId="0" xfId="0" applyNumberFormat="1" applyFont="1" applyAlignment="1">
      <alignment horizontal="center"/>
    </xf>
    <xf numFmtId="4" fontId="6" fillId="0" borderId="0" xfId="0" applyNumberFormat="1" applyFont="1" applyAlignment="1">
      <alignment horizontal="center"/>
    </xf>
    <xf numFmtId="4" fontId="10" fillId="0" borderId="0" xfId="1" applyNumberFormat="1" applyFont="1" applyBorder="1" applyAlignment="1">
      <alignment horizontal="center"/>
    </xf>
    <xf numFmtId="174" fontId="6" fillId="0" borderId="0" xfId="1" applyNumberFormat="1" applyFont="1" applyBorder="1" applyAlignment="1">
      <alignment horizontal="center"/>
    </xf>
    <xf numFmtId="174" fontId="10" fillId="0" borderId="0" xfId="1" applyNumberFormat="1" applyFont="1" applyBorder="1" applyAlignment="1">
      <alignment horizontal="center"/>
    </xf>
    <xf numFmtId="4" fontId="14" fillId="0" borderId="0" xfId="1" applyNumberFormat="1" applyFont="1" applyBorder="1" applyAlignment="1">
      <alignment horizontal="center"/>
    </xf>
    <xf numFmtId="4" fontId="14" fillId="0" borderId="0" xfId="0" applyNumberFormat="1" applyFont="1" applyAlignment="1">
      <alignment horizontal="center"/>
    </xf>
    <xf numFmtId="0" fontId="6" fillId="0" borderId="0" xfId="0" applyFont="1" applyAlignment="1">
      <alignment horizontal="left" vertical="top" wrapText="1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left" wrapText="1"/>
    </xf>
    <xf numFmtId="0" fontId="7" fillId="6" borderId="9" xfId="0" applyFont="1" applyFill="1" applyBorder="1" applyAlignment="1">
      <alignment horizontal="left"/>
    </xf>
    <xf numFmtId="0" fontId="7" fillId="6" borderId="16" xfId="0" applyFont="1" applyFill="1" applyBorder="1" applyAlignment="1">
      <alignment horizontal="left"/>
    </xf>
    <xf numFmtId="0" fontId="7" fillId="6" borderId="17" xfId="0" applyFont="1" applyFill="1" applyBorder="1" applyAlignment="1">
      <alignment horizontal="left"/>
    </xf>
    <xf numFmtId="0" fontId="7" fillId="10" borderId="9" xfId="0" applyFont="1" applyFill="1" applyBorder="1" applyAlignment="1">
      <alignment horizontal="center"/>
    </xf>
    <xf numFmtId="0" fontId="7" fillId="10" borderId="16" xfId="0" applyFont="1" applyFill="1" applyBorder="1" applyAlignment="1">
      <alignment horizontal="center"/>
    </xf>
    <xf numFmtId="0" fontId="7" fillId="10" borderId="17" xfId="0" applyFont="1" applyFill="1" applyBorder="1" applyAlignment="1">
      <alignment horizontal="center"/>
    </xf>
    <xf numFmtId="0" fontId="7" fillId="11" borderId="9" xfId="0" applyFont="1" applyFill="1" applyBorder="1" applyAlignment="1">
      <alignment horizontal="center"/>
    </xf>
    <xf numFmtId="0" fontId="7" fillId="11" borderId="16" xfId="0" applyFont="1" applyFill="1" applyBorder="1" applyAlignment="1">
      <alignment horizontal="center"/>
    </xf>
    <xf numFmtId="0" fontId="7" fillId="11" borderId="17" xfId="0" applyFont="1" applyFill="1" applyBorder="1" applyAlignment="1">
      <alignment horizontal="center"/>
    </xf>
    <xf numFmtId="174" fontId="10" fillId="15" borderId="0" xfId="0" applyNumberFormat="1" applyFont="1" applyFill="1" applyAlignment="1">
      <alignment horizontal="center"/>
    </xf>
    <xf numFmtId="174" fontId="11" fillId="0" borderId="0" xfId="0" applyNumberFormat="1" applyFont="1" applyAlignment="1">
      <alignment horizontal="center"/>
    </xf>
    <xf numFmtId="4" fontId="11" fillId="0" borderId="0" xfId="0" applyNumberFormat="1" applyFont="1" applyAlignment="1">
      <alignment horizontal="center"/>
    </xf>
    <xf numFmtId="174" fontId="6" fillId="0" borderId="0" xfId="1" applyNumberFormat="1" applyFont="1" applyFill="1" applyBorder="1" applyAlignment="1">
      <alignment horizontal="center" vertical="center"/>
    </xf>
    <xf numFmtId="178" fontId="10" fillId="0" borderId="0" xfId="0" applyNumberFormat="1" applyFont="1" applyAlignment="1">
      <alignment horizontal="center"/>
    </xf>
    <xf numFmtId="178" fontId="6" fillId="0" borderId="0" xfId="1" applyNumberFormat="1" applyFont="1" applyBorder="1" applyAlignment="1">
      <alignment horizontal="center"/>
    </xf>
    <xf numFmtId="178" fontId="6" fillId="0" borderId="0" xfId="0" applyNumberFormat="1" applyFont="1" applyAlignment="1">
      <alignment horizontal="center"/>
    </xf>
    <xf numFmtId="178" fontId="14" fillId="0" borderId="0" xfId="1" applyNumberFormat="1" applyFont="1" applyBorder="1" applyAlignment="1">
      <alignment horizontal="center"/>
    </xf>
    <xf numFmtId="178" fontId="6" fillId="0" borderId="0" xfId="1" applyNumberFormat="1" applyFont="1" applyFill="1" applyBorder="1" applyAlignment="1">
      <alignment horizontal="center" vertical="center"/>
    </xf>
    <xf numFmtId="178" fontId="11" fillId="0" borderId="0" xfId="0" applyNumberFormat="1" applyFont="1" applyAlignment="1">
      <alignment horizontal="center"/>
    </xf>
    <xf numFmtId="178" fontId="6" fillId="0" borderId="0" xfId="8" applyNumberFormat="1" applyFont="1" applyAlignment="1">
      <alignment horizontal="center"/>
    </xf>
    <xf numFmtId="178" fontId="6" fillId="0" borderId="0" xfId="12" applyNumberFormat="1" applyFont="1" applyAlignment="1">
      <alignment horizontal="center"/>
    </xf>
    <xf numFmtId="178" fontId="6" fillId="0" borderId="0" xfId="9" applyNumberFormat="1" applyFont="1" applyFill="1" applyBorder="1" applyAlignment="1">
      <alignment horizontal="center"/>
    </xf>
    <xf numFmtId="178" fontId="6" fillId="0" borderId="0" xfId="8" applyNumberFormat="1" applyFont="1" applyAlignment="1">
      <alignment horizontal="center" vertical="center"/>
    </xf>
    <xf numFmtId="178" fontId="6" fillId="0" borderId="0" xfId="2" applyNumberFormat="1" applyFont="1" applyFill="1" applyBorder="1" applyAlignment="1">
      <alignment horizontal="center"/>
    </xf>
    <xf numFmtId="174" fontId="6" fillId="0" borderId="0" xfId="1" applyNumberFormat="1" applyFont="1" applyFill="1" applyBorder="1" applyAlignment="1">
      <alignment horizontal="center" wrapText="1"/>
    </xf>
    <xf numFmtId="4" fontId="0" fillId="0" borderId="0" xfId="0" applyNumberFormat="1" applyAlignment="1">
      <alignment horizontal="center"/>
    </xf>
    <xf numFmtId="0" fontId="6" fillId="0" borderId="0" xfId="8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/>
    <xf numFmtId="174" fontId="25" fillId="0" borderId="0" xfId="0" applyNumberFormat="1" applyFont="1" applyAlignment="1">
      <alignment horizontal="center"/>
    </xf>
    <xf numFmtId="178" fontId="14" fillId="0" borderId="0" xfId="0" applyNumberFormat="1" applyFont="1" applyAlignment="1">
      <alignment horizontal="center"/>
    </xf>
    <xf numFmtId="174" fontId="10" fillId="14" borderId="0" xfId="0" applyNumberFormat="1" applyFont="1" applyFill="1" applyAlignment="1">
      <alignment horizontal="center"/>
    </xf>
    <xf numFmtId="166" fontId="28" fillId="0" borderId="0" xfId="1" applyNumberFormat="1" applyFont="1" applyBorder="1" applyAlignment="1">
      <alignment horizontal="center"/>
    </xf>
    <xf numFmtId="4" fontId="10" fillId="0" borderId="0" xfId="0" applyNumberFormat="1" applyFont="1" applyAlignment="1">
      <alignment horizontal="center"/>
    </xf>
    <xf numFmtId="4" fontId="6" fillId="0" borderId="0" xfId="0" applyNumberFormat="1" applyFont="1" applyAlignment="1">
      <alignment horizontal="center" vertical="top"/>
    </xf>
    <xf numFmtId="0" fontId="7" fillId="10" borderId="2" xfId="0" applyFont="1" applyFill="1" applyBorder="1" applyAlignment="1">
      <alignment horizontal="center"/>
    </xf>
    <xf numFmtId="0" fontId="7" fillId="11" borderId="2" xfId="0" applyFont="1" applyFill="1" applyBorder="1" applyAlignment="1">
      <alignment horizontal="center"/>
    </xf>
    <xf numFmtId="0" fontId="10" fillId="0" borderId="0" xfId="0" applyFont="1" applyAlignment="1">
      <alignment horizontal="center" vertical="center" wrapText="1"/>
    </xf>
    <xf numFmtId="174" fontId="8" fillId="0" borderId="0" xfId="0" applyNumberFormat="1" applyFont="1" applyAlignment="1">
      <alignment horizontal="center"/>
    </xf>
    <xf numFmtId="174" fontId="14" fillId="0" borderId="0" xfId="1" applyNumberFormat="1" applyFont="1" applyBorder="1" applyAlignment="1">
      <alignment horizontal="center"/>
    </xf>
    <xf numFmtId="174" fontId="14" fillId="0" borderId="0" xfId="0" applyNumberFormat="1" applyFont="1" applyAlignment="1">
      <alignment horizontal="center"/>
    </xf>
    <xf numFmtId="4" fontId="8" fillId="0" borderId="0" xfId="0" applyNumberFormat="1" applyFont="1" applyAlignment="1">
      <alignment horizontal="center"/>
    </xf>
    <xf numFmtId="4" fontId="6" fillId="0" borderId="0" xfId="0" applyNumberFormat="1" applyFont="1" applyAlignment="1">
      <alignment horizontal="center" vertical="center" wrapText="1"/>
    </xf>
    <xf numFmtId="0" fontId="7" fillId="6" borderId="2" xfId="0" applyFont="1" applyFill="1" applyBorder="1" applyAlignment="1">
      <alignment horizontal="left"/>
    </xf>
    <xf numFmtId="2" fontId="6" fillId="0" borderId="0" xfId="0" applyNumberFormat="1" applyFont="1" applyAlignment="1">
      <alignment horizontal="center" wrapText="1"/>
    </xf>
    <xf numFmtId="0" fontId="6" fillId="0" borderId="0" xfId="0" applyFont="1" applyAlignment="1">
      <alignment horizontal="center" wrapText="1"/>
    </xf>
    <xf numFmtId="174" fontId="10" fillId="0" borderId="0" xfId="13" applyNumberFormat="1" applyFont="1" applyBorder="1" applyAlignment="1">
      <alignment horizontal="center"/>
    </xf>
    <xf numFmtId="174" fontId="6" fillId="0" borderId="0" xfId="13" applyNumberFormat="1" applyFont="1" applyBorder="1" applyAlignment="1">
      <alignment horizontal="center"/>
    </xf>
    <xf numFmtId="174" fontId="6" fillId="0" borderId="0" xfId="0" applyNumberFormat="1" applyFont="1" applyAlignment="1">
      <alignment horizontal="center" vertical="top"/>
    </xf>
    <xf numFmtId="174" fontId="27" fillId="0" borderId="0" xfId="13" applyNumberFormat="1" applyFont="1" applyBorder="1" applyAlignment="1">
      <alignment horizontal="center"/>
    </xf>
    <xf numFmtId="174" fontId="27" fillId="0" borderId="0" xfId="0" applyNumberFormat="1" applyFont="1" applyAlignment="1">
      <alignment horizontal="center"/>
    </xf>
    <xf numFmtId="0" fontId="7" fillId="6" borderId="2" xfId="0" applyFont="1" applyFill="1" applyBorder="1" applyAlignment="1">
      <alignment horizontal="center" wrapText="1"/>
    </xf>
    <xf numFmtId="0" fontId="7" fillId="10" borderId="2" xfId="0" applyFont="1" applyFill="1" applyBorder="1" applyAlignment="1">
      <alignment horizontal="center" wrapText="1"/>
    </xf>
    <xf numFmtId="0" fontId="7" fillId="11" borderId="2" xfId="0" applyFont="1" applyFill="1" applyBorder="1" applyAlignment="1">
      <alignment horizontal="center" wrapText="1"/>
    </xf>
    <xf numFmtId="0" fontId="7" fillId="6" borderId="12" xfId="0" applyFont="1" applyFill="1" applyBorder="1" applyAlignment="1">
      <alignment horizontal="left"/>
    </xf>
    <xf numFmtId="0" fontId="7" fillId="10" borderId="12" xfId="0" applyFont="1" applyFill="1" applyBorder="1" applyAlignment="1">
      <alignment horizontal="center"/>
    </xf>
    <xf numFmtId="0" fontId="7" fillId="11" borderId="12" xfId="0" applyFont="1" applyFill="1" applyBorder="1" applyAlignment="1">
      <alignment horizontal="center"/>
    </xf>
    <xf numFmtId="172" fontId="6" fillId="0" borderId="0" xfId="0" applyNumberFormat="1" applyFont="1" applyAlignment="1">
      <alignment horizontal="center" wrapText="1"/>
    </xf>
    <xf numFmtId="166" fontId="14" fillId="0" borderId="0" xfId="0" applyNumberFormat="1" applyFont="1" applyAlignment="1">
      <alignment horizontal="center" wrapText="1"/>
    </xf>
    <xf numFmtId="166" fontId="40" fillId="0" borderId="0" xfId="0" applyNumberFormat="1" applyFont="1" applyAlignment="1">
      <alignment horizontal="center" wrapText="1"/>
    </xf>
    <xf numFmtId="166" fontId="10" fillId="0" borderId="0" xfId="1" applyNumberFormat="1" applyFont="1" applyBorder="1" applyAlignment="1">
      <alignment horizontal="center" wrapText="1"/>
    </xf>
    <xf numFmtId="166" fontId="10" fillId="14" borderId="0" xfId="0" applyNumberFormat="1" applyFont="1" applyFill="1" applyAlignment="1">
      <alignment horizontal="center" wrapText="1"/>
    </xf>
    <xf numFmtId="166" fontId="6" fillId="0" borderId="0" xfId="0" applyNumberFormat="1" applyFont="1" applyAlignment="1">
      <alignment horizontal="center" wrapText="1"/>
    </xf>
    <xf numFmtId="166" fontId="6" fillId="0" borderId="0" xfId="1" applyNumberFormat="1" applyFont="1" applyBorder="1" applyAlignment="1">
      <alignment horizontal="center" wrapText="1"/>
    </xf>
    <xf numFmtId="166" fontId="6" fillId="0" borderId="0" xfId="0" applyNumberFormat="1" applyFont="1" applyAlignment="1">
      <alignment horizontal="center" vertical="center" wrapText="1"/>
    </xf>
    <xf numFmtId="166" fontId="14" fillId="0" borderId="0" xfId="1" applyNumberFormat="1" applyFont="1" applyBorder="1" applyAlignment="1">
      <alignment horizontal="center" vertical="center" wrapText="1"/>
    </xf>
    <xf numFmtId="195" fontId="27" fillId="0" borderId="0" xfId="0" applyNumberFormat="1" applyFont="1" applyAlignment="1">
      <alignment horizontal="center" wrapText="1"/>
    </xf>
    <xf numFmtId="174" fontId="6" fillId="0" borderId="0" xfId="0" applyNumberFormat="1" applyFont="1" applyAlignment="1">
      <alignment horizontal="center" wrapText="1"/>
    </xf>
    <xf numFmtId="166" fontId="14" fillId="0" borderId="0" xfId="0" applyNumberFormat="1" applyFont="1" applyAlignment="1">
      <alignment horizontal="center" vertical="top" wrapText="1"/>
    </xf>
    <xf numFmtId="174" fontId="14" fillId="0" borderId="0" xfId="1" applyNumberFormat="1" applyFont="1" applyBorder="1" applyAlignment="1">
      <alignment horizontal="center" wrapText="1"/>
    </xf>
    <xf numFmtId="194" fontId="14" fillId="0" borderId="0" xfId="0" applyNumberFormat="1" applyFont="1" applyAlignment="1">
      <alignment horizontal="center" vertical="center" wrapText="1"/>
    </xf>
    <xf numFmtId="195" fontId="14" fillId="0" borderId="0" xfId="0" applyNumberFormat="1" applyFont="1" applyAlignment="1">
      <alignment horizontal="center" wrapText="1"/>
    </xf>
    <xf numFmtId="194" fontId="14" fillId="0" borderId="0" xfId="1" applyNumberFormat="1" applyFont="1" applyBorder="1" applyAlignment="1">
      <alignment horizontal="center" vertical="center" wrapText="1"/>
    </xf>
    <xf numFmtId="195" fontId="6" fillId="0" borderId="0" xfId="0" applyNumberFormat="1" applyFont="1" applyAlignment="1">
      <alignment horizontal="center" wrapText="1"/>
    </xf>
    <xf numFmtId="195" fontId="6" fillId="0" borderId="0" xfId="1" applyNumberFormat="1" applyFont="1" applyBorder="1" applyAlignment="1">
      <alignment horizontal="center" wrapText="1"/>
    </xf>
    <xf numFmtId="0" fontId="16" fillId="0" borderId="0" xfId="0" applyFont="1" applyAlignment="1">
      <alignment horizontal="center" wrapText="1"/>
    </xf>
    <xf numFmtId="0" fontId="28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right" vertical="center" wrapText="1"/>
    </xf>
    <xf numFmtId="0" fontId="28" fillId="0" borderId="0" xfId="0" applyFont="1" applyAlignment="1">
      <alignment horizontal="left"/>
    </xf>
    <xf numFmtId="0" fontId="6" fillId="0" borderId="0" xfId="16" applyFont="1" applyAlignment="1">
      <alignment horizontal="center"/>
    </xf>
    <xf numFmtId="174" fontId="6" fillId="0" borderId="0" xfId="17" applyNumberFormat="1" applyFont="1" applyBorder="1" applyAlignment="1">
      <alignment horizontal="center"/>
    </xf>
    <xf numFmtId="177" fontId="6" fillId="0" borderId="0" xfId="16" applyNumberFormat="1" applyFont="1" applyAlignment="1">
      <alignment horizontal="center"/>
    </xf>
    <xf numFmtId="174" fontId="14" fillId="0" borderId="0" xfId="17" applyNumberFormat="1" applyFont="1" applyBorder="1" applyAlignment="1">
      <alignment horizontal="center"/>
    </xf>
    <xf numFmtId="177" fontId="6" fillId="0" borderId="0" xfId="17" applyNumberFormat="1" applyFont="1" applyBorder="1" applyAlignment="1">
      <alignment horizontal="center"/>
    </xf>
    <xf numFmtId="0" fontId="7" fillId="0" borderId="0" xfId="16" applyFont="1" applyAlignment="1">
      <alignment horizontal="center"/>
    </xf>
    <xf numFmtId="0" fontId="6" fillId="0" borderId="0" xfId="16" applyFont="1" applyAlignment="1">
      <alignment horizontal="right"/>
    </xf>
    <xf numFmtId="174" fontId="6" fillId="0" borderId="0" xfId="16" applyNumberFormat="1" applyFont="1" applyAlignment="1">
      <alignment horizontal="center"/>
    </xf>
    <xf numFmtId="0" fontId="6" fillId="0" borderId="22" xfId="16" applyFont="1" applyBorder="1" applyAlignment="1">
      <alignment horizontal="center"/>
    </xf>
    <xf numFmtId="0" fontId="6" fillId="0" borderId="23" xfId="16" applyFont="1" applyBorder="1" applyAlignment="1">
      <alignment horizontal="center"/>
    </xf>
    <xf numFmtId="0" fontId="6" fillId="0" borderId="21" xfId="16" applyFont="1" applyBorder="1" applyAlignment="1">
      <alignment horizontal="center"/>
    </xf>
    <xf numFmtId="0" fontId="7" fillId="0" borderId="20" xfId="16" applyFont="1" applyBorder="1" applyAlignment="1">
      <alignment horizontal="center"/>
    </xf>
    <xf numFmtId="0" fontId="7" fillId="0" borderId="24" xfId="16" applyFont="1" applyBorder="1" applyAlignment="1">
      <alignment horizontal="center"/>
    </xf>
    <xf numFmtId="0" fontId="7" fillId="6" borderId="2" xfId="16" applyFont="1" applyFill="1" applyBorder="1" applyAlignment="1">
      <alignment horizontal="left"/>
    </xf>
    <xf numFmtId="0" fontId="7" fillId="10" borderId="2" xfId="16" applyFont="1" applyFill="1" applyBorder="1" applyAlignment="1">
      <alignment horizontal="center"/>
    </xf>
    <xf numFmtId="0" fontId="7" fillId="11" borderId="2" xfId="16" applyFont="1" applyFill="1" applyBorder="1" applyAlignment="1">
      <alignment horizontal="center"/>
    </xf>
    <xf numFmtId="4" fontId="14" fillId="0" borderId="0" xfId="1" applyNumberFormat="1" applyFont="1" applyFill="1" applyBorder="1" applyAlignment="1">
      <alignment horizontal="center"/>
    </xf>
    <xf numFmtId="174" fontId="6" fillId="19" borderId="0" xfId="0" applyNumberFormat="1" applyFont="1" applyFill="1" applyAlignment="1">
      <alignment horizontal="center"/>
    </xf>
  </cellXfs>
  <cellStyles count="21">
    <cellStyle name="20% - Énfasis4" xfId="6" builtinId="42"/>
    <cellStyle name="40% - Énfasis1" xfId="5" builtinId="31"/>
    <cellStyle name="40% - Énfasis5" xfId="7" builtinId="47"/>
    <cellStyle name="Comma 2" xfId="11" xr:uid="{9F15ECE2-9F0E-4690-AB12-6B9CB1A42461}"/>
    <cellStyle name="Millares" xfId="1" builtinId="3"/>
    <cellStyle name="Millares 10" xfId="13" xr:uid="{8A041925-5583-4918-B777-CCEB39FF772C}"/>
    <cellStyle name="Millares 2" xfId="9" xr:uid="{53CE6279-5DDD-4E7B-AC95-58D231BCFD0F}"/>
    <cellStyle name="Millares 2 2" xfId="18" xr:uid="{6A21D0F4-BACC-4113-BB70-7C0E009C1149}"/>
    <cellStyle name="Millares 3" xfId="17" xr:uid="{5EA91CBA-1922-452A-AEA2-4308EC237398}"/>
    <cellStyle name="Millares_PROYECTO PADRE GRANERO AGUAS NEGRAS" xfId="15" xr:uid="{013F49B7-9281-448D-B1AA-DAA31F34A529}"/>
    <cellStyle name="Moneda" xfId="2" builtinId="4"/>
    <cellStyle name="Moneda 2" xfId="20" xr:uid="{A4F91D3B-2D77-4BA4-ADC7-B6971154067E}"/>
    <cellStyle name="Normal" xfId="0" builtinId="0"/>
    <cellStyle name="Normal 2" xfId="16" xr:uid="{92783EA5-ACDD-4C00-907B-AB71571FC390}"/>
    <cellStyle name="Normal 2 2" xfId="10" xr:uid="{E0540E26-DD2D-41DB-82A5-3FD8F2D801BC}"/>
    <cellStyle name="Normal 2 3" xfId="14" xr:uid="{06CD12CD-8715-4D6E-8318-5805077670E0}"/>
    <cellStyle name="Normal 2 6" xfId="8" xr:uid="{ED074E7C-6EEE-44AC-9BB0-EE6A329FA5A4}"/>
    <cellStyle name="Normal 3 3" xfId="12" xr:uid="{F10BD6BA-441E-480E-8C6D-6C17170E4466}"/>
    <cellStyle name="Porcentaje" xfId="3" builtinId="5"/>
    <cellStyle name="Porcentaje 2" xfId="19" xr:uid="{1AF80CEE-BFBF-4150-ABE7-1715CB6F7EF5}"/>
    <cellStyle name="Salida" xfId="4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371475</xdr:colOff>
      <xdr:row>1</xdr:row>
      <xdr:rowOff>114300</xdr:rowOff>
    </xdr:from>
    <xdr:to>
      <xdr:col>1</xdr:col>
      <xdr:colOff>1085850</xdr:colOff>
      <xdr:row>7</xdr:row>
      <xdr:rowOff>114300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5FD97442-B1D0-4228-84E9-6D984615E9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304800"/>
          <a:ext cx="1304925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161925</xdr:colOff>
      <xdr:row>139</xdr:row>
      <xdr:rowOff>28575</xdr:rowOff>
    </xdr:from>
    <xdr:to>
      <xdr:col>1</xdr:col>
      <xdr:colOff>952500</xdr:colOff>
      <xdr:row>144</xdr:row>
      <xdr:rowOff>66675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922E7E9-EDE5-4585-A409-F03386CAB4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34823400"/>
          <a:ext cx="1381125" cy="99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66675</xdr:rowOff>
    </xdr:from>
    <xdr:to>
      <xdr:col>1</xdr:col>
      <xdr:colOff>866775</xdr:colOff>
      <xdr:row>6</xdr:row>
      <xdr:rowOff>123826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899B9832-07EE-4B52-9530-6AFA48FA42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66675"/>
          <a:ext cx="1333500" cy="1247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123826</xdr:colOff>
      <xdr:row>74</xdr:row>
      <xdr:rowOff>71915</xdr:rowOff>
    </xdr:from>
    <xdr:to>
      <xdr:col>1</xdr:col>
      <xdr:colOff>885825</xdr:colOff>
      <xdr:row>81</xdr:row>
      <xdr:rowOff>38100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8E0D7F7-4EB4-4A47-83D5-27E302B5DB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6" y="16845440"/>
          <a:ext cx="1323974" cy="12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257176</xdr:colOff>
      <xdr:row>2</xdr:row>
      <xdr:rowOff>30958</xdr:rowOff>
    </xdr:from>
    <xdr:to>
      <xdr:col>1</xdr:col>
      <xdr:colOff>1000126</xdr:colOff>
      <xdr:row>7</xdr:row>
      <xdr:rowOff>7855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F7C82C1F-003D-4286-9A2C-F30531C919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6" y="411958"/>
          <a:ext cx="1514475" cy="10055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476252</xdr:colOff>
      <xdr:row>90</xdr:row>
      <xdr:rowOff>69059</xdr:rowOff>
    </xdr:from>
    <xdr:to>
      <xdr:col>1</xdr:col>
      <xdr:colOff>1149704</xdr:colOff>
      <xdr:row>96</xdr:row>
      <xdr:rowOff>114301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AEE1C57-9BD2-4B7C-BE1F-629791EBC4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2" y="18614234"/>
          <a:ext cx="1444977" cy="11882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292100</xdr:colOff>
      <xdr:row>0</xdr:row>
      <xdr:rowOff>38100</xdr:rowOff>
    </xdr:from>
    <xdr:to>
      <xdr:col>1</xdr:col>
      <xdr:colOff>1057275</xdr:colOff>
      <xdr:row>5</xdr:row>
      <xdr:rowOff>104776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70CBEA82-C797-4571-AE9E-1D3AAAE805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2100" y="38100"/>
          <a:ext cx="1527175" cy="1019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409576</xdr:colOff>
      <xdr:row>203</xdr:row>
      <xdr:rowOff>85725</xdr:rowOff>
    </xdr:from>
    <xdr:to>
      <xdr:col>1</xdr:col>
      <xdr:colOff>1162050</xdr:colOff>
      <xdr:row>208</xdr:row>
      <xdr:rowOff>183088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A1068D9-FC21-4026-8D91-8448F35E02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6" y="44738925"/>
          <a:ext cx="1514474" cy="10498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0</xdr:row>
      <xdr:rowOff>57151</xdr:rowOff>
    </xdr:from>
    <xdr:to>
      <xdr:col>1</xdr:col>
      <xdr:colOff>553485</xdr:colOff>
      <xdr:row>5</xdr:row>
      <xdr:rowOff>123825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EC584E3-D1A6-4073-9D1A-1148B3BB46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57151"/>
          <a:ext cx="1201185" cy="10191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622299</xdr:colOff>
      <xdr:row>99</xdr:row>
      <xdr:rowOff>38099</xdr:rowOff>
    </xdr:from>
    <xdr:to>
      <xdr:col>1</xdr:col>
      <xdr:colOff>1114424</xdr:colOff>
      <xdr:row>104</xdr:row>
      <xdr:rowOff>86285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DFA6091-E7AF-4E32-B2DD-A72A9C0A32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22299" y="20974049"/>
          <a:ext cx="1254125" cy="114356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142875</xdr:rowOff>
    </xdr:from>
    <xdr:to>
      <xdr:col>1</xdr:col>
      <xdr:colOff>588018</xdr:colOff>
      <xdr:row>5</xdr:row>
      <xdr:rowOff>76200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F09DD4A6-0FD3-4176-8DD1-117C3A473D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42875"/>
          <a:ext cx="1045218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123824</xdr:colOff>
      <xdr:row>144</xdr:row>
      <xdr:rowOff>85725</xdr:rowOff>
    </xdr:from>
    <xdr:to>
      <xdr:col>1</xdr:col>
      <xdr:colOff>1009649</xdr:colOff>
      <xdr:row>150</xdr:row>
      <xdr:rowOff>85725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CA38073-ACB0-413F-B9B4-91E7EB69B6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4" y="33232725"/>
          <a:ext cx="1438275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152399</xdr:colOff>
      <xdr:row>3</xdr:row>
      <xdr:rowOff>88900</xdr:rowOff>
    </xdr:from>
    <xdr:to>
      <xdr:col>1</xdr:col>
      <xdr:colOff>657224</xdr:colOff>
      <xdr:row>8</xdr:row>
      <xdr:rowOff>60325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76C3D522-1D27-4FF9-8887-E6C4CD957B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399" y="660400"/>
          <a:ext cx="114300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</xdr:colOff>
      <xdr:row>191</xdr:row>
      <xdr:rowOff>47625</xdr:rowOff>
    </xdr:from>
    <xdr:to>
      <xdr:col>1</xdr:col>
      <xdr:colOff>1120675</xdr:colOff>
      <xdr:row>195</xdr:row>
      <xdr:rowOff>9525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6F61487-BCE0-4658-8F32-76895C5FC1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6" y="50834925"/>
          <a:ext cx="1120674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485775</xdr:colOff>
      <xdr:row>1</xdr:row>
      <xdr:rowOff>47625</xdr:rowOff>
    </xdr:from>
    <xdr:to>
      <xdr:col>1</xdr:col>
      <xdr:colOff>1057275</xdr:colOff>
      <xdr:row>8</xdr:row>
      <xdr:rowOff>142875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8D21BF9D-7CAD-4321-AF07-74739B7E1F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209550"/>
          <a:ext cx="133350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266700</xdr:colOff>
      <xdr:row>100</xdr:row>
      <xdr:rowOff>66675</xdr:rowOff>
    </xdr:from>
    <xdr:to>
      <xdr:col>1</xdr:col>
      <xdr:colOff>866775</xdr:colOff>
      <xdr:row>107</xdr:row>
      <xdr:rowOff>9525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E7F5E22-297F-4463-9FA4-5A7EBA0BB9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23545800"/>
          <a:ext cx="1362075" cy="1076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0</xdr:row>
      <xdr:rowOff>114300</xdr:rowOff>
    </xdr:from>
    <xdr:to>
      <xdr:col>1</xdr:col>
      <xdr:colOff>571500</xdr:colOff>
      <xdr:row>6</xdr:row>
      <xdr:rowOff>53097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5D1761EA-CE8D-4793-8056-2EF620EFE1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114300"/>
          <a:ext cx="1266825" cy="10817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142876</xdr:colOff>
      <xdr:row>86</xdr:row>
      <xdr:rowOff>38101</xdr:rowOff>
    </xdr:from>
    <xdr:to>
      <xdr:col>1</xdr:col>
      <xdr:colOff>588037</xdr:colOff>
      <xdr:row>91</xdr:row>
      <xdr:rowOff>95250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616B9B2-B6FB-40BF-9BE3-8E0443DE87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6" y="17526001"/>
          <a:ext cx="1207161" cy="1057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CE3BC8-6AE6-4C04-ADA5-38884CCE0544}">
  <dimension ref="A1:N174"/>
  <sheetViews>
    <sheetView topLeftCell="A121" zoomScaleNormal="100" workbookViewId="0">
      <selection activeCell="M130" sqref="M130"/>
    </sheetView>
  </sheetViews>
  <sheetFormatPr baseColWidth="10" defaultRowHeight="15"/>
  <cols>
    <col min="1" max="1" width="8.85546875" customWidth="1"/>
    <col min="2" max="2" width="38.140625" bestFit="1" customWidth="1"/>
    <col min="3" max="3" width="8.85546875" customWidth="1"/>
    <col min="4" max="4" width="11.85546875" customWidth="1"/>
    <col min="5" max="5" width="12" customWidth="1"/>
    <col min="6" max="6" width="14.85546875" bestFit="1" customWidth="1"/>
    <col min="7" max="7" width="10.140625" customWidth="1"/>
    <col min="8" max="8" width="10.28515625" customWidth="1"/>
    <col min="9" max="9" width="12.85546875" customWidth="1"/>
    <col min="10" max="10" width="8.85546875" customWidth="1"/>
    <col min="11" max="11" width="11.28515625" customWidth="1"/>
    <col min="12" max="12" width="12.85546875" customWidth="1"/>
    <col min="13" max="13" width="14.5703125" customWidth="1"/>
    <col min="14" max="14" width="18.7109375" customWidth="1"/>
  </cols>
  <sheetData>
    <row r="1" spans="1:13">
      <c r="A1" s="1111" t="s">
        <v>0</v>
      </c>
      <c r="B1" s="1111"/>
      <c r="C1" s="1111"/>
      <c r="D1" s="1111"/>
      <c r="E1" s="1111"/>
      <c r="F1" s="1111"/>
      <c r="G1" s="1111"/>
      <c r="H1" s="1111"/>
      <c r="I1" s="1111"/>
      <c r="J1" s="1111"/>
      <c r="K1" s="1111"/>
      <c r="L1" s="1111"/>
      <c r="M1" s="1111"/>
    </row>
    <row r="2" spans="1:13">
      <c r="A2" s="1121" t="s">
        <v>1</v>
      </c>
      <c r="B2" s="1121"/>
      <c r="C2" s="1121"/>
      <c r="D2" s="1121"/>
      <c r="E2" s="1121"/>
      <c r="F2" s="1121"/>
      <c r="G2" s="1121"/>
      <c r="H2" s="1121"/>
      <c r="I2" s="1121"/>
      <c r="J2" s="1121"/>
      <c r="K2" s="1121"/>
      <c r="L2" s="1121"/>
      <c r="M2" s="1121"/>
    </row>
    <row r="3" spans="1:13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3" t="s">
        <v>2</v>
      </c>
    </row>
    <row r="4" spans="1:1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4"/>
    </row>
    <row r="5" spans="1:13">
      <c r="A5" s="4"/>
      <c r="B5" s="5" t="s">
        <v>3</v>
      </c>
      <c r="C5" s="6" t="s">
        <v>4</v>
      </c>
      <c r="D5" s="6"/>
      <c r="E5" s="6"/>
      <c r="F5" s="6"/>
      <c r="G5" s="7"/>
      <c r="H5" s="4"/>
      <c r="I5" s="4"/>
      <c r="J5" s="4"/>
      <c r="K5" s="4"/>
      <c r="L5" s="5" t="s">
        <v>5</v>
      </c>
      <c r="M5" s="8" t="s">
        <v>6</v>
      </c>
    </row>
    <row r="6" spans="1:13">
      <c r="A6" s="4"/>
      <c r="B6" s="5" t="s">
        <v>7</v>
      </c>
      <c r="C6" s="9">
        <v>1</v>
      </c>
      <c r="D6" s="4"/>
      <c r="E6" s="6"/>
      <c r="F6" s="6"/>
      <c r="G6" s="6"/>
      <c r="H6" s="4"/>
      <c r="I6" s="4"/>
      <c r="J6" s="4"/>
      <c r="K6" s="4"/>
      <c r="L6" s="5" t="s">
        <v>8</v>
      </c>
      <c r="M6" s="8">
        <v>2902983.676</v>
      </c>
    </row>
    <row r="7" spans="1:13">
      <c r="A7" s="4"/>
      <c r="B7" s="5" t="s">
        <v>9</v>
      </c>
      <c r="C7" s="6" t="s">
        <v>10</v>
      </c>
      <c r="D7" s="6"/>
      <c r="E7" s="6"/>
      <c r="F7" s="6"/>
      <c r="G7" s="10"/>
      <c r="H7" s="4"/>
      <c r="I7" s="4"/>
      <c r="J7" s="4"/>
      <c r="K7" s="4"/>
      <c r="L7" s="5" t="s">
        <v>11</v>
      </c>
      <c r="M7" s="11" t="s">
        <v>12</v>
      </c>
    </row>
    <row r="8" spans="1:13">
      <c r="A8" s="4"/>
      <c r="B8" s="5" t="s">
        <v>13</v>
      </c>
      <c r="C8" s="6" t="s">
        <v>14</v>
      </c>
      <c r="D8" s="6"/>
      <c r="E8" s="6"/>
      <c r="F8" s="6"/>
      <c r="G8" s="6"/>
      <c r="H8" s="4"/>
      <c r="I8" s="4"/>
      <c r="J8" s="4"/>
      <c r="K8" s="4"/>
      <c r="L8" s="4"/>
      <c r="M8" s="4"/>
    </row>
    <row r="9" spans="1:13">
      <c r="A9" s="1124" t="s">
        <v>15</v>
      </c>
      <c r="B9" s="1124"/>
      <c r="C9" s="1124"/>
      <c r="D9" s="1124"/>
      <c r="E9" s="1124"/>
      <c r="F9" s="1124"/>
      <c r="G9" s="1125" t="s">
        <v>16</v>
      </c>
      <c r="H9" s="1125"/>
      <c r="I9" s="1125"/>
      <c r="J9" s="1125"/>
      <c r="K9" s="1126" t="s">
        <v>17</v>
      </c>
      <c r="L9" s="1126"/>
      <c r="M9" s="1126"/>
    </row>
    <row r="10" spans="1:13" ht="15.75" thickBot="1">
      <c r="A10" s="13" t="s">
        <v>18</v>
      </c>
      <c r="B10" s="14" t="s">
        <v>19</v>
      </c>
      <c r="C10" s="14" t="s">
        <v>20</v>
      </c>
      <c r="D10" s="14" t="s">
        <v>21</v>
      </c>
      <c r="E10" s="15" t="s">
        <v>22</v>
      </c>
      <c r="F10" s="16" t="s">
        <v>23</v>
      </c>
      <c r="G10" s="17" t="s">
        <v>24</v>
      </c>
      <c r="H10" s="17" t="s">
        <v>25</v>
      </c>
      <c r="I10" s="18" t="s">
        <v>26</v>
      </c>
      <c r="J10" s="12" t="s">
        <v>27</v>
      </c>
      <c r="K10" s="19" t="s">
        <v>24</v>
      </c>
      <c r="L10" s="20" t="s">
        <v>25</v>
      </c>
      <c r="M10" s="21" t="s">
        <v>26</v>
      </c>
    </row>
    <row r="11" spans="1:13">
      <c r="A11" s="22">
        <v>1</v>
      </c>
      <c r="B11" s="23" t="s">
        <v>28</v>
      </c>
      <c r="C11" s="24"/>
      <c r="D11" s="25"/>
      <c r="E11" s="26"/>
      <c r="F11" s="26"/>
      <c r="G11" s="27"/>
      <c r="H11" s="27"/>
      <c r="I11" s="28"/>
      <c r="J11" s="29"/>
      <c r="K11" s="30"/>
      <c r="L11" s="31"/>
      <c r="M11" s="32"/>
    </row>
    <row r="12" spans="1:13">
      <c r="A12" s="33">
        <v>1.01</v>
      </c>
      <c r="B12" s="24" t="s">
        <v>29</v>
      </c>
      <c r="C12" s="25" t="s">
        <v>30</v>
      </c>
      <c r="D12" s="26">
        <v>2940</v>
      </c>
      <c r="E12" s="26">
        <v>219</v>
      </c>
      <c r="F12" s="34">
        <f>D12*E12</f>
        <v>643860</v>
      </c>
      <c r="G12" s="35"/>
      <c r="H12" s="27">
        <v>2205</v>
      </c>
      <c r="I12" s="36">
        <f>G12+H12</f>
        <v>2205</v>
      </c>
      <c r="J12" s="37">
        <f>I12/D12*100</f>
        <v>75</v>
      </c>
      <c r="K12" s="38"/>
      <c r="L12" s="39">
        <f>H12*E12</f>
        <v>482895</v>
      </c>
      <c r="M12" s="40">
        <f>K12+L12</f>
        <v>482895</v>
      </c>
    </row>
    <row r="13" spans="1:13">
      <c r="A13" s="33">
        <v>1.02</v>
      </c>
      <c r="B13" s="24" t="s">
        <v>31</v>
      </c>
      <c r="C13" s="25" t="s">
        <v>32</v>
      </c>
      <c r="D13" s="26">
        <v>1</v>
      </c>
      <c r="E13" s="26">
        <v>85000</v>
      </c>
      <c r="F13" s="34">
        <f t="shared" ref="F13:F77" si="0">D13*E13</f>
        <v>85000</v>
      </c>
      <c r="G13" s="27"/>
      <c r="H13" s="27"/>
      <c r="I13" s="41"/>
      <c r="J13" s="42"/>
      <c r="K13" s="38"/>
      <c r="L13" s="43">
        <f>SUM(L12)</f>
        <v>482895</v>
      </c>
      <c r="M13" s="44">
        <f>K13+L13</f>
        <v>482895</v>
      </c>
    </row>
    <row r="14" spans="1:13">
      <c r="A14" s="33"/>
      <c r="B14" s="23" t="s">
        <v>33</v>
      </c>
      <c r="C14" s="45"/>
      <c r="D14" s="46"/>
      <c r="E14" s="46"/>
      <c r="F14" s="47">
        <f>SUM(F12:F13)</f>
        <v>728860</v>
      </c>
      <c r="G14" s="27"/>
      <c r="H14" s="27"/>
      <c r="I14" s="41"/>
      <c r="J14" s="42"/>
      <c r="K14" s="38"/>
      <c r="L14" s="39"/>
      <c r="M14" s="48"/>
    </row>
    <row r="15" spans="1:13">
      <c r="A15" s="49">
        <v>2</v>
      </c>
      <c r="B15" s="50" t="s">
        <v>34</v>
      </c>
      <c r="C15" s="51"/>
      <c r="D15" s="26"/>
      <c r="E15" s="26"/>
      <c r="F15" s="34"/>
      <c r="G15" s="27"/>
      <c r="H15" s="27"/>
      <c r="I15" s="41"/>
      <c r="J15" s="42"/>
      <c r="K15" s="38"/>
      <c r="L15" s="39"/>
      <c r="M15" s="48"/>
    </row>
    <row r="16" spans="1:13">
      <c r="A16" s="52">
        <v>2.0099999999999998</v>
      </c>
      <c r="B16" s="53" t="s">
        <v>35</v>
      </c>
      <c r="C16" s="51" t="s">
        <v>36</v>
      </c>
      <c r="D16" s="26">
        <v>2181.52</v>
      </c>
      <c r="E16" s="26">
        <v>201.6</v>
      </c>
      <c r="F16" s="34">
        <f t="shared" si="0"/>
        <v>439794.43199999997</v>
      </c>
      <c r="G16" s="54"/>
      <c r="H16" s="55">
        <f>H23*0.6*1</f>
        <v>1323</v>
      </c>
      <c r="I16" s="36">
        <f>G16+H16</f>
        <v>1323</v>
      </c>
      <c r="J16" s="37">
        <f>I16/D16*100</f>
        <v>60.645788257728562</v>
      </c>
      <c r="K16" s="38"/>
      <c r="L16" s="56">
        <f>H16*E16</f>
        <v>266716.79999999999</v>
      </c>
      <c r="M16" s="40">
        <f>K16+L16</f>
        <v>266716.79999999999</v>
      </c>
    </row>
    <row r="17" spans="1:13">
      <c r="A17" s="52">
        <v>2.02</v>
      </c>
      <c r="B17" s="24" t="s">
        <v>37</v>
      </c>
      <c r="C17" s="25" t="s">
        <v>36</v>
      </c>
      <c r="D17" s="26">
        <v>197.75</v>
      </c>
      <c r="E17" s="26">
        <v>1970</v>
      </c>
      <c r="F17" s="34">
        <f t="shared" si="0"/>
        <v>389567.5</v>
      </c>
      <c r="G17" s="54"/>
      <c r="H17" s="55">
        <f>H23*0.6*0.1</f>
        <v>132.30000000000001</v>
      </c>
      <c r="I17" s="36">
        <f>G17+H17</f>
        <v>132.30000000000001</v>
      </c>
      <c r="J17" s="37">
        <f>I17/D17*100</f>
        <v>66.902654867256643</v>
      </c>
      <c r="K17" s="38"/>
      <c r="L17" s="56">
        <f>H17*E17</f>
        <v>260631.00000000003</v>
      </c>
      <c r="M17" s="40">
        <f>K17+L17</f>
        <v>260631.00000000003</v>
      </c>
    </row>
    <row r="18" spans="1:13">
      <c r="A18" s="33">
        <v>2.0299999999999998</v>
      </c>
      <c r="B18" s="24" t="s">
        <v>38</v>
      </c>
      <c r="C18" s="25" t="s">
        <v>36</v>
      </c>
      <c r="D18" s="26">
        <v>1884.58</v>
      </c>
      <c r="E18" s="26">
        <v>717</v>
      </c>
      <c r="F18" s="34">
        <f t="shared" si="0"/>
        <v>1351243.8599999999</v>
      </c>
      <c r="G18" s="27"/>
      <c r="H18" s="55">
        <f>D18*0.85</f>
        <v>1601.8929999999998</v>
      </c>
      <c r="I18" s="36">
        <f t="shared" ref="I18:I19" si="1">G18+H18</f>
        <v>1601.8929999999998</v>
      </c>
      <c r="J18" s="37">
        <f t="shared" ref="J18:J19" si="2">I18/D18*100</f>
        <v>85</v>
      </c>
      <c r="K18" s="38"/>
      <c r="L18" s="56">
        <f t="shared" ref="L18:L19" si="3">H18*E18</f>
        <v>1148557.281</v>
      </c>
      <c r="M18" s="40">
        <f t="shared" ref="M18:M20" si="4">K18+L18</f>
        <v>1148557.281</v>
      </c>
    </row>
    <row r="19" spans="1:13">
      <c r="A19" s="33">
        <v>2.04</v>
      </c>
      <c r="B19" s="57" t="s">
        <v>39</v>
      </c>
      <c r="C19" s="58" t="s">
        <v>36</v>
      </c>
      <c r="D19" s="26">
        <v>356.33</v>
      </c>
      <c r="E19" s="26">
        <v>365.27</v>
      </c>
      <c r="F19" s="34">
        <f t="shared" si="0"/>
        <v>130156.65909999999</v>
      </c>
      <c r="G19" s="27"/>
      <c r="H19" s="55">
        <f>H23*0.1</f>
        <v>220.5</v>
      </c>
      <c r="I19" s="36">
        <f t="shared" si="1"/>
        <v>220.5</v>
      </c>
      <c r="J19" s="37">
        <f t="shared" si="2"/>
        <v>61.880840793646342</v>
      </c>
      <c r="K19" s="38"/>
      <c r="L19" s="56">
        <f t="shared" si="3"/>
        <v>80542.034999999989</v>
      </c>
      <c r="M19" s="40">
        <f t="shared" si="4"/>
        <v>80542.034999999989</v>
      </c>
    </row>
    <row r="20" spans="1:13">
      <c r="A20" s="59"/>
      <c r="B20" s="23" t="s">
        <v>33</v>
      </c>
      <c r="C20" s="25"/>
      <c r="D20" s="26"/>
      <c r="E20" s="26"/>
      <c r="F20" s="47">
        <f>SUM(F16:F19)</f>
        <v>2310762.4510999997</v>
      </c>
      <c r="G20" s="27"/>
      <c r="H20" s="27"/>
      <c r="I20" s="41"/>
      <c r="J20" s="42"/>
      <c r="K20" s="38"/>
      <c r="L20" s="60">
        <f>SUM(L16:L19)</f>
        <v>1756447.1159999999</v>
      </c>
      <c r="M20" s="61">
        <f t="shared" si="4"/>
        <v>1756447.1159999999</v>
      </c>
    </row>
    <row r="21" spans="1:13">
      <c r="A21" s="62">
        <v>3</v>
      </c>
      <c r="B21" s="63" t="s">
        <v>40</v>
      </c>
      <c r="C21" s="25"/>
      <c r="D21" s="26"/>
      <c r="E21" s="26"/>
      <c r="F21" s="34"/>
      <c r="G21" s="27"/>
      <c r="H21" s="27"/>
      <c r="I21" s="41"/>
      <c r="J21" s="42"/>
      <c r="K21" s="38"/>
      <c r="L21" s="56"/>
      <c r="M21" s="64"/>
    </row>
    <row r="22" spans="1:13" ht="24.75">
      <c r="A22" s="65">
        <v>3.01</v>
      </c>
      <c r="B22" s="66" t="s">
        <v>41</v>
      </c>
      <c r="C22" s="25" t="s">
        <v>30</v>
      </c>
      <c r="D22" s="26">
        <v>981.75</v>
      </c>
      <c r="E22" s="26">
        <v>1545.58</v>
      </c>
      <c r="F22" s="34">
        <f>1517373.82</f>
        <v>1517373.82</v>
      </c>
      <c r="G22" s="27"/>
      <c r="H22" s="27"/>
      <c r="I22" s="41"/>
      <c r="J22" s="42"/>
      <c r="K22" s="38"/>
      <c r="L22" s="56"/>
      <c r="M22" s="64"/>
    </row>
    <row r="23" spans="1:13" ht="24.75">
      <c r="A23" s="67">
        <v>3.02</v>
      </c>
      <c r="B23" s="66" t="s">
        <v>42</v>
      </c>
      <c r="C23" s="25" t="s">
        <v>30</v>
      </c>
      <c r="D23" s="26">
        <v>2315.25</v>
      </c>
      <c r="E23" s="26">
        <v>431.75</v>
      </c>
      <c r="F23" s="34">
        <f t="shared" si="0"/>
        <v>999609.1875</v>
      </c>
      <c r="G23" s="27"/>
      <c r="H23" s="27">
        <v>2205</v>
      </c>
      <c r="I23" s="36">
        <f>G23+H23</f>
        <v>2205</v>
      </c>
      <c r="J23" s="37">
        <f>I23/D23*100</f>
        <v>95.238095238095227</v>
      </c>
      <c r="K23" s="38"/>
      <c r="L23" s="56">
        <f>H23*E23</f>
        <v>952008.75</v>
      </c>
      <c r="M23" s="40">
        <f>K23+L23</f>
        <v>952008.75</v>
      </c>
    </row>
    <row r="24" spans="1:13">
      <c r="A24" s="67"/>
      <c r="B24" s="68" t="s">
        <v>33</v>
      </c>
      <c r="C24" s="25"/>
      <c r="D24" s="26"/>
      <c r="E24" s="26"/>
      <c r="F24" s="47">
        <f>SUM(F22:F23)</f>
        <v>2516983.0075000003</v>
      </c>
      <c r="G24" s="27"/>
      <c r="H24" s="27"/>
      <c r="I24" s="41"/>
      <c r="J24" s="69"/>
      <c r="K24" s="38"/>
      <c r="L24" s="43">
        <f>SUM(L23)</f>
        <v>952008.75</v>
      </c>
      <c r="M24" s="44">
        <f>K24+L24</f>
        <v>952008.75</v>
      </c>
    </row>
    <row r="25" spans="1:13">
      <c r="A25" s="33">
        <v>4</v>
      </c>
      <c r="B25" s="68" t="s">
        <v>43</v>
      </c>
      <c r="C25" s="25"/>
      <c r="D25" s="26"/>
      <c r="E25" s="26"/>
      <c r="F25" s="34"/>
      <c r="G25" s="27"/>
      <c r="H25" s="27"/>
      <c r="I25" s="41"/>
      <c r="J25" s="69"/>
      <c r="K25" s="30"/>
      <c r="L25" s="39"/>
      <c r="M25" s="32"/>
    </row>
    <row r="26" spans="1:13" ht="36">
      <c r="A26" s="70">
        <v>4.01</v>
      </c>
      <c r="B26" s="71" t="s">
        <v>44</v>
      </c>
      <c r="C26" s="25" t="s">
        <v>45</v>
      </c>
      <c r="D26" s="26">
        <v>5</v>
      </c>
      <c r="E26" s="26">
        <v>6402</v>
      </c>
      <c r="F26" s="34">
        <f t="shared" si="0"/>
        <v>32010</v>
      </c>
      <c r="G26" s="27"/>
      <c r="H26" s="27"/>
      <c r="I26" s="41"/>
      <c r="J26" s="42"/>
      <c r="K26" s="38"/>
      <c r="L26" s="39"/>
      <c r="M26" s="32"/>
    </row>
    <row r="27" spans="1:13" ht="24">
      <c r="A27" s="33">
        <v>4.0199999999999996</v>
      </c>
      <c r="B27" s="72" t="s">
        <v>46</v>
      </c>
      <c r="C27" s="25" t="s">
        <v>45</v>
      </c>
      <c r="D27" s="26">
        <v>5</v>
      </c>
      <c r="E27" s="26">
        <v>13200</v>
      </c>
      <c r="F27" s="34">
        <f t="shared" si="0"/>
        <v>66000</v>
      </c>
      <c r="G27" s="27"/>
      <c r="H27" s="27"/>
      <c r="I27" s="41"/>
      <c r="J27" s="69"/>
      <c r="K27" s="38"/>
      <c r="L27" s="39"/>
      <c r="M27" s="32"/>
    </row>
    <row r="28" spans="1:13" ht="24">
      <c r="A28" s="33">
        <v>4.03</v>
      </c>
      <c r="B28" s="72" t="s">
        <v>47</v>
      </c>
      <c r="C28" s="25" t="s">
        <v>45</v>
      </c>
      <c r="D28" s="26">
        <v>3</v>
      </c>
      <c r="E28" s="26">
        <v>2100</v>
      </c>
      <c r="F28" s="34">
        <f>D28*E28</f>
        <v>6300</v>
      </c>
      <c r="G28" s="27"/>
      <c r="H28" s="27"/>
      <c r="I28" s="41"/>
      <c r="J28" s="69"/>
      <c r="K28" s="30"/>
      <c r="L28" s="39"/>
      <c r="M28" s="32"/>
    </row>
    <row r="29" spans="1:13">
      <c r="A29" s="70"/>
      <c r="B29" s="73" t="s">
        <v>33</v>
      </c>
      <c r="C29" s="25"/>
      <c r="D29" s="26"/>
      <c r="E29" s="26"/>
      <c r="F29" s="47">
        <f>SUM(F26:F28)</f>
        <v>104310</v>
      </c>
      <c r="G29" s="27"/>
      <c r="H29" s="27"/>
      <c r="I29" s="41"/>
      <c r="J29" s="42"/>
      <c r="K29" s="38"/>
      <c r="L29" s="39"/>
      <c r="M29" s="32"/>
    </row>
    <row r="30" spans="1:13">
      <c r="A30" s="74">
        <v>5</v>
      </c>
      <c r="B30" s="73" t="s">
        <v>48</v>
      </c>
      <c r="C30" s="25"/>
      <c r="D30" s="26"/>
      <c r="E30" s="26"/>
      <c r="F30" s="34"/>
      <c r="G30" s="27"/>
      <c r="H30" s="27"/>
      <c r="I30" s="41"/>
      <c r="J30" s="42"/>
      <c r="K30" s="38"/>
      <c r="L30" s="39"/>
      <c r="M30" s="32"/>
    </row>
    <row r="31" spans="1:13">
      <c r="A31" s="33">
        <v>5.01</v>
      </c>
      <c r="B31" s="75" t="s">
        <v>49</v>
      </c>
      <c r="C31" s="25" t="s">
        <v>36</v>
      </c>
      <c r="D31" s="26">
        <v>73.13</v>
      </c>
      <c r="E31" s="26">
        <v>201.6</v>
      </c>
      <c r="F31" s="34">
        <f t="shared" si="0"/>
        <v>14743.007999999998</v>
      </c>
      <c r="G31" s="27"/>
      <c r="H31" s="27"/>
      <c r="I31" s="41"/>
      <c r="J31" s="42"/>
      <c r="K31" s="38"/>
      <c r="L31" s="39"/>
      <c r="M31" s="32"/>
    </row>
    <row r="32" spans="1:13">
      <c r="A32" s="33">
        <v>5.0199999999999996</v>
      </c>
      <c r="B32" s="76" t="s">
        <v>50</v>
      </c>
      <c r="C32" s="25" t="s">
        <v>36</v>
      </c>
      <c r="D32" s="26">
        <v>95.06</v>
      </c>
      <c r="E32" s="26">
        <v>365.27</v>
      </c>
      <c r="F32" s="34">
        <f t="shared" si="0"/>
        <v>34722.566200000001</v>
      </c>
      <c r="G32" s="27"/>
      <c r="H32" s="27"/>
      <c r="I32" s="41"/>
      <c r="J32" s="42"/>
      <c r="K32" s="38"/>
      <c r="L32" s="39"/>
      <c r="M32" s="32"/>
    </row>
    <row r="33" spans="1:13" ht="48">
      <c r="A33" s="33">
        <v>5.03</v>
      </c>
      <c r="B33" s="72" t="s">
        <v>51</v>
      </c>
      <c r="C33" s="25" t="s">
        <v>30</v>
      </c>
      <c r="D33" s="26">
        <v>8.5</v>
      </c>
      <c r="E33" s="26">
        <v>12500</v>
      </c>
      <c r="F33" s="34">
        <f t="shared" si="0"/>
        <v>106250</v>
      </c>
      <c r="G33" s="27"/>
      <c r="H33" s="27"/>
      <c r="I33" s="41"/>
      <c r="J33" s="42"/>
      <c r="K33" s="38"/>
      <c r="L33" s="39"/>
      <c r="M33" s="32"/>
    </row>
    <row r="34" spans="1:13" ht="24">
      <c r="A34" s="33">
        <v>5.04</v>
      </c>
      <c r="B34" s="72" t="s">
        <v>52</v>
      </c>
      <c r="C34" s="25" t="s">
        <v>36</v>
      </c>
      <c r="D34" s="26">
        <v>0.98</v>
      </c>
      <c r="E34" s="26">
        <v>21058.5</v>
      </c>
      <c r="F34" s="34">
        <f t="shared" si="0"/>
        <v>20637.329999999998</v>
      </c>
      <c r="G34" s="27"/>
      <c r="H34" s="27"/>
      <c r="I34" s="41"/>
      <c r="J34" s="42"/>
      <c r="K34" s="38"/>
      <c r="L34" s="39"/>
      <c r="M34" s="32"/>
    </row>
    <row r="35" spans="1:13">
      <c r="A35" s="33">
        <v>5.05</v>
      </c>
      <c r="B35" s="76" t="s">
        <v>53</v>
      </c>
      <c r="C35" s="25" t="s">
        <v>54</v>
      </c>
      <c r="D35" s="26">
        <v>8</v>
      </c>
      <c r="E35" s="26">
        <v>3125</v>
      </c>
      <c r="F35" s="34">
        <f t="shared" si="0"/>
        <v>25000</v>
      </c>
      <c r="G35" s="27"/>
      <c r="H35" s="27"/>
      <c r="I35" s="41"/>
      <c r="J35" s="42"/>
      <c r="K35" s="38"/>
      <c r="L35" s="39"/>
      <c r="M35" s="32"/>
    </row>
    <row r="36" spans="1:13">
      <c r="A36" s="33">
        <v>5.0599999999999996</v>
      </c>
      <c r="B36" s="76" t="s">
        <v>55</v>
      </c>
      <c r="C36" s="25" t="s">
        <v>32</v>
      </c>
      <c r="D36" s="26">
        <v>1</v>
      </c>
      <c r="E36" s="26">
        <v>125000</v>
      </c>
      <c r="F36" s="34">
        <f t="shared" si="0"/>
        <v>125000</v>
      </c>
      <c r="G36" s="27"/>
      <c r="H36" s="27"/>
      <c r="I36" s="41"/>
      <c r="J36" s="42"/>
      <c r="K36" s="38"/>
      <c r="L36" s="39"/>
      <c r="M36" s="32"/>
    </row>
    <row r="37" spans="1:13">
      <c r="A37" s="33">
        <v>5.07</v>
      </c>
      <c r="B37" s="76" t="s">
        <v>56</v>
      </c>
      <c r="C37" s="25" t="s">
        <v>32</v>
      </c>
      <c r="D37" s="26">
        <v>1</v>
      </c>
      <c r="E37" s="26">
        <v>34452.1</v>
      </c>
      <c r="F37" s="34">
        <f t="shared" si="0"/>
        <v>34452.1</v>
      </c>
      <c r="G37" s="27"/>
      <c r="H37" s="27"/>
      <c r="I37" s="41"/>
      <c r="J37" s="42"/>
      <c r="K37" s="38"/>
      <c r="L37" s="39"/>
      <c r="M37" s="32"/>
    </row>
    <row r="38" spans="1:13" ht="48">
      <c r="A38" s="33">
        <v>5.08</v>
      </c>
      <c r="B38" s="72" t="s">
        <v>57</v>
      </c>
      <c r="C38" s="25" t="s">
        <v>58</v>
      </c>
      <c r="D38" s="26">
        <v>5.4</v>
      </c>
      <c r="E38" s="26">
        <v>21058.5</v>
      </c>
      <c r="F38" s="34">
        <f t="shared" si="0"/>
        <v>113715.90000000001</v>
      </c>
      <c r="G38" s="27"/>
      <c r="H38" s="27"/>
      <c r="I38" s="41"/>
      <c r="J38" s="42"/>
      <c r="K38" s="38"/>
      <c r="L38" s="39"/>
      <c r="M38" s="32"/>
    </row>
    <row r="39" spans="1:13">
      <c r="A39" s="33">
        <v>5.09</v>
      </c>
      <c r="B39" s="76" t="s">
        <v>59</v>
      </c>
      <c r="C39" s="25" t="s">
        <v>32</v>
      </c>
      <c r="D39" s="26">
        <v>1</v>
      </c>
      <c r="E39" s="26">
        <v>350000</v>
      </c>
      <c r="F39" s="34">
        <f t="shared" si="0"/>
        <v>350000</v>
      </c>
      <c r="G39" s="27"/>
      <c r="H39" s="27"/>
      <c r="I39" s="41"/>
      <c r="J39" s="42"/>
      <c r="K39" s="38"/>
      <c r="L39" s="39"/>
      <c r="M39" s="32"/>
    </row>
    <row r="40" spans="1:13">
      <c r="A40" s="33">
        <v>5.0999999999999996</v>
      </c>
      <c r="B40" s="76" t="s">
        <v>60</v>
      </c>
      <c r="C40" s="25" t="s">
        <v>45</v>
      </c>
      <c r="D40" s="26">
        <v>1</v>
      </c>
      <c r="E40" s="26">
        <v>2300</v>
      </c>
      <c r="F40" s="34">
        <f t="shared" si="0"/>
        <v>2300</v>
      </c>
      <c r="G40" s="27"/>
      <c r="H40" s="27"/>
      <c r="I40" s="41"/>
      <c r="J40" s="42"/>
      <c r="K40" s="38"/>
      <c r="L40" s="39"/>
      <c r="M40" s="32"/>
    </row>
    <row r="41" spans="1:13" ht="24">
      <c r="A41" s="33">
        <v>5.1100000000000003</v>
      </c>
      <c r="B41" s="72" t="s">
        <v>61</v>
      </c>
      <c r="C41" s="25" t="s">
        <v>62</v>
      </c>
      <c r="D41" s="26">
        <v>1</v>
      </c>
      <c r="E41" s="26">
        <v>4500</v>
      </c>
      <c r="F41" s="34">
        <f t="shared" si="0"/>
        <v>4500</v>
      </c>
      <c r="G41" s="27"/>
      <c r="H41" s="27"/>
      <c r="I41" s="41"/>
      <c r="J41" s="42"/>
      <c r="K41" s="38"/>
      <c r="L41" s="39"/>
      <c r="M41" s="32"/>
    </row>
    <row r="42" spans="1:13">
      <c r="A42" s="33"/>
      <c r="B42" s="68" t="s">
        <v>33</v>
      </c>
      <c r="C42" s="25"/>
      <c r="D42" s="26"/>
      <c r="E42" s="26"/>
      <c r="F42" s="47">
        <f>SUM(F31:F41)</f>
        <v>831320.90419999999</v>
      </c>
      <c r="G42" s="27"/>
      <c r="H42" s="27"/>
      <c r="I42" s="41"/>
      <c r="J42" s="69"/>
      <c r="K42" s="38"/>
      <c r="L42" s="39"/>
      <c r="M42" s="32"/>
    </row>
    <row r="43" spans="1:13">
      <c r="A43" s="33">
        <v>6</v>
      </c>
      <c r="B43" s="68" t="s">
        <v>63</v>
      </c>
      <c r="C43" s="25"/>
      <c r="D43" s="26"/>
      <c r="E43" s="26"/>
      <c r="F43" s="34"/>
      <c r="G43" s="27"/>
      <c r="H43" s="27"/>
      <c r="I43" s="41"/>
      <c r="J43" s="69"/>
      <c r="K43" s="30"/>
      <c r="L43" s="39"/>
      <c r="M43" s="32"/>
    </row>
    <row r="44" spans="1:13">
      <c r="A44" s="33">
        <v>6.01</v>
      </c>
      <c r="B44" s="76" t="s">
        <v>64</v>
      </c>
      <c r="C44" s="25" t="s">
        <v>36</v>
      </c>
      <c r="D44" s="26">
        <v>3.7</v>
      </c>
      <c r="E44" s="26">
        <v>260</v>
      </c>
      <c r="F44" s="34">
        <f t="shared" si="0"/>
        <v>962</v>
      </c>
      <c r="G44" s="27"/>
      <c r="H44" s="27"/>
      <c r="I44" s="41"/>
      <c r="J44" s="69"/>
      <c r="K44" s="30"/>
      <c r="L44" s="39"/>
      <c r="M44" s="32"/>
    </row>
    <row r="45" spans="1:13">
      <c r="A45" s="33">
        <v>6.02</v>
      </c>
      <c r="B45" s="76" t="s">
        <v>50</v>
      </c>
      <c r="C45" s="25" t="s">
        <v>36</v>
      </c>
      <c r="D45" s="26">
        <v>4.8099999999999996</v>
      </c>
      <c r="E45" s="26">
        <v>365.27</v>
      </c>
      <c r="F45" s="34">
        <f t="shared" si="0"/>
        <v>1756.9486999999997</v>
      </c>
      <c r="G45" s="27"/>
      <c r="H45" s="27"/>
      <c r="I45" s="41"/>
      <c r="J45" s="42"/>
      <c r="K45" s="30"/>
      <c r="L45" s="39"/>
      <c r="M45" s="32"/>
    </row>
    <row r="46" spans="1:13">
      <c r="A46" s="33">
        <v>6.03</v>
      </c>
      <c r="B46" s="76" t="s">
        <v>65</v>
      </c>
      <c r="C46" s="25" t="s">
        <v>36</v>
      </c>
      <c r="D46" s="26">
        <v>2.56</v>
      </c>
      <c r="E46" s="26">
        <v>12652.6</v>
      </c>
      <c r="F46" s="34">
        <f t="shared" si="0"/>
        <v>32390.656000000003</v>
      </c>
      <c r="G46" s="27"/>
      <c r="H46" s="27"/>
      <c r="I46" s="41"/>
      <c r="J46" s="69"/>
      <c r="K46" s="30"/>
      <c r="L46" s="39"/>
      <c r="M46" s="32"/>
    </row>
    <row r="47" spans="1:13">
      <c r="A47" s="33">
        <v>6.04</v>
      </c>
      <c r="B47" s="76" t="s">
        <v>66</v>
      </c>
      <c r="C47" s="25" t="s">
        <v>58</v>
      </c>
      <c r="D47" s="26">
        <v>22.22</v>
      </c>
      <c r="E47" s="26">
        <v>1352.27</v>
      </c>
      <c r="F47" s="34">
        <f t="shared" si="0"/>
        <v>30047.439399999999</v>
      </c>
      <c r="G47" s="27"/>
      <c r="H47" s="27"/>
      <c r="I47" s="41"/>
      <c r="J47" s="69"/>
      <c r="K47" s="30"/>
      <c r="L47" s="39"/>
      <c r="M47" s="32"/>
    </row>
    <row r="48" spans="1:13" ht="24">
      <c r="A48" s="33">
        <v>6.05</v>
      </c>
      <c r="B48" s="71" t="s">
        <v>67</v>
      </c>
      <c r="C48" s="25" t="s">
        <v>36</v>
      </c>
      <c r="D48" s="26">
        <v>0.85</v>
      </c>
      <c r="E48" s="26">
        <v>21655</v>
      </c>
      <c r="F48" s="34">
        <f t="shared" si="0"/>
        <v>18406.75</v>
      </c>
      <c r="G48" s="27"/>
      <c r="H48" s="27"/>
      <c r="I48" s="41"/>
      <c r="J48" s="69"/>
      <c r="K48" s="30"/>
      <c r="L48" s="39"/>
      <c r="M48" s="32"/>
    </row>
    <row r="49" spans="1:13" ht="36">
      <c r="A49" s="33">
        <v>6.06</v>
      </c>
      <c r="B49" s="72" t="s">
        <v>68</v>
      </c>
      <c r="C49" s="25" t="s">
        <v>36</v>
      </c>
      <c r="D49" s="26">
        <v>0.28000000000000003</v>
      </c>
      <c r="E49" s="26">
        <v>74500</v>
      </c>
      <c r="F49" s="34">
        <f t="shared" si="0"/>
        <v>20860.000000000004</v>
      </c>
      <c r="G49" s="27"/>
      <c r="H49" s="27"/>
      <c r="I49" s="41"/>
      <c r="J49" s="69"/>
      <c r="K49" s="30"/>
      <c r="L49" s="39"/>
      <c r="M49" s="32"/>
    </row>
    <row r="50" spans="1:13">
      <c r="A50" s="33">
        <v>6.07</v>
      </c>
      <c r="B50" s="76" t="s">
        <v>69</v>
      </c>
      <c r="C50" s="25" t="s">
        <v>36</v>
      </c>
      <c r="D50" s="26">
        <v>0.4</v>
      </c>
      <c r="E50" s="26">
        <v>40595</v>
      </c>
      <c r="F50" s="34">
        <f t="shared" si="0"/>
        <v>16238</v>
      </c>
      <c r="G50" s="27"/>
      <c r="H50" s="27"/>
      <c r="I50" s="41"/>
      <c r="J50" s="69"/>
      <c r="K50" s="30"/>
      <c r="L50" s="39"/>
      <c r="M50" s="32"/>
    </row>
    <row r="51" spans="1:13">
      <c r="A51" s="33">
        <v>6.08</v>
      </c>
      <c r="B51" s="76" t="s">
        <v>70</v>
      </c>
      <c r="C51" s="25" t="s">
        <v>36</v>
      </c>
      <c r="D51" s="26">
        <v>0.03</v>
      </c>
      <c r="E51" s="26">
        <v>44350</v>
      </c>
      <c r="F51" s="34">
        <f t="shared" si="0"/>
        <v>1330.5</v>
      </c>
      <c r="G51" s="27"/>
      <c r="H51" s="27"/>
      <c r="I51" s="41"/>
      <c r="J51" s="69"/>
      <c r="K51" s="30"/>
      <c r="L51" s="39"/>
      <c r="M51" s="32"/>
    </row>
    <row r="52" spans="1:13">
      <c r="A52" s="33">
        <v>6.09</v>
      </c>
      <c r="B52" s="76" t="s">
        <v>71</v>
      </c>
      <c r="C52" s="25" t="s">
        <v>58</v>
      </c>
      <c r="D52" s="26">
        <v>22.76</v>
      </c>
      <c r="E52" s="26">
        <v>445.6</v>
      </c>
      <c r="F52" s="34">
        <f t="shared" si="0"/>
        <v>10141.856000000002</v>
      </c>
      <c r="G52" s="27"/>
      <c r="H52" s="27"/>
      <c r="I52" s="41"/>
      <c r="J52" s="69"/>
      <c r="K52" s="30"/>
      <c r="L52" s="39"/>
      <c r="M52" s="32"/>
    </row>
    <row r="53" spans="1:13">
      <c r="A53" s="70">
        <v>6.1</v>
      </c>
      <c r="B53" s="76" t="s">
        <v>72</v>
      </c>
      <c r="C53" s="25" t="s">
        <v>58</v>
      </c>
      <c r="D53" s="26">
        <v>18.48</v>
      </c>
      <c r="E53" s="26">
        <v>805.1</v>
      </c>
      <c r="F53" s="34">
        <f t="shared" si="0"/>
        <v>14878.248000000001</v>
      </c>
      <c r="G53" s="27"/>
      <c r="H53" s="27"/>
      <c r="I53" s="41"/>
      <c r="J53" s="69"/>
      <c r="K53" s="30"/>
      <c r="L53" s="39"/>
      <c r="M53" s="32"/>
    </row>
    <row r="54" spans="1:13">
      <c r="A54" s="70">
        <v>6.11</v>
      </c>
      <c r="B54" s="76" t="s">
        <v>73</v>
      </c>
      <c r="C54" s="25" t="s">
        <v>30</v>
      </c>
      <c r="D54" s="26">
        <v>10.119999999999999</v>
      </c>
      <c r="E54" s="26">
        <v>216.69</v>
      </c>
      <c r="F54" s="34">
        <f t="shared" si="0"/>
        <v>2192.9027999999998</v>
      </c>
      <c r="G54" s="27"/>
      <c r="H54" s="27"/>
      <c r="I54" s="41"/>
      <c r="J54" s="69"/>
      <c r="K54" s="30"/>
      <c r="L54" s="39"/>
      <c r="M54" s="32"/>
    </row>
    <row r="55" spans="1:13">
      <c r="A55" s="33">
        <v>6.12</v>
      </c>
      <c r="B55" s="75" t="s">
        <v>74</v>
      </c>
      <c r="C55" s="25" t="s">
        <v>30</v>
      </c>
      <c r="D55" s="26">
        <v>14.4</v>
      </c>
      <c r="E55" s="26">
        <v>220.93</v>
      </c>
      <c r="F55" s="34">
        <f t="shared" si="0"/>
        <v>3181.3920000000003</v>
      </c>
      <c r="G55" s="27"/>
      <c r="H55" s="27"/>
      <c r="I55" s="41"/>
      <c r="J55" s="69"/>
      <c r="K55" s="30"/>
      <c r="L55" s="39"/>
      <c r="M55" s="32"/>
    </row>
    <row r="56" spans="1:13">
      <c r="A56" s="33">
        <v>6.13</v>
      </c>
      <c r="B56" s="76" t="s">
        <v>75</v>
      </c>
      <c r="C56" s="25" t="s">
        <v>58</v>
      </c>
      <c r="D56" s="26">
        <v>41.24</v>
      </c>
      <c r="E56" s="26">
        <v>87.01</v>
      </c>
      <c r="F56" s="34">
        <f t="shared" si="0"/>
        <v>3588.2924000000003</v>
      </c>
      <c r="G56" s="27"/>
      <c r="H56" s="27"/>
      <c r="I56" s="41"/>
      <c r="J56" s="69"/>
      <c r="K56" s="30"/>
      <c r="L56" s="39"/>
      <c r="M56" s="32"/>
    </row>
    <row r="57" spans="1:13">
      <c r="A57" s="33">
        <v>6.14</v>
      </c>
      <c r="B57" s="76" t="s">
        <v>76</v>
      </c>
      <c r="C57" s="25" t="s">
        <v>58</v>
      </c>
      <c r="D57" s="26">
        <v>41.24</v>
      </c>
      <c r="E57" s="26">
        <v>224</v>
      </c>
      <c r="F57" s="34">
        <f t="shared" si="0"/>
        <v>9237.76</v>
      </c>
      <c r="G57" s="27"/>
      <c r="H57" s="27"/>
      <c r="I57" s="41"/>
      <c r="J57" s="69"/>
      <c r="K57" s="30"/>
      <c r="L57" s="39"/>
      <c r="M57" s="32"/>
    </row>
    <row r="58" spans="1:13">
      <c r="A58" s="33">
        <v>6.15</v>
      </c>
      <c r="B58" s="76" t="s">
        <v>77</v>
      </c>
      <c r="C58" s="25" t="s">
        <v>78</v>
      </c>
      <c r="D58" s="26">
        <v>1</v>
      </c>
      <c r="E58" s="26">
        <v>2630</v>
      </c>
      <c r="F58" s="34">
        <f t="shared" si="0"/>
        <v>2630</v>
      </c>
      <c r="G58" s="27"/>
      <c r="H58" s="27"/>
      <c r="I58" s="41"/>
      <c r="J58" s="69"/>
      <c r="K58" s="30"/>
      <c r="L58" s="39"/>
      <c r="M58" s="32"/>
    </row>
    <row r="59" spans="1:13">
      <c r="A59" s="33">
        <v>6.16</v>
      </c>
      <c r="B59" s="76" t="s">
        <v>79</v>
      </c>
      <c r="C59" s="25" t="s">
        <v>78</v>
      </c>
      <c r="D59" s="26">
        <v>1</v>
      </c>
      <c r="E59" s="26">
        <v>2750</v>
      </c>
      <c r="F59" s="34">
        <f t="shared" si="0"/>
        <v>2750</v>
      </c>
      <c r="G59" s="27"/>
      <c r="H59" s="27"/>
      <c r="I59" s="41"/>
      <c r="J59" s="69"/>
      <c r="K59" s="30"/>
      <c r="L59" s="39"/>
      <c r="M59" s="32"/>
    </row>
    <row r="60" spans="1:13">
      <c r="A60" s="33">
        <v>6.17</v>
      </c>
      <c r="B60" s="76" t="s">
        <v>80</v>
      </c>
      <c r="C60" s="25" t="s">
        <v>78</v>
      </c>
      <c r="D60" s="26">
        <v>1</v>
      </c>
      <c r="E60" s="26">
        <v>11990</v>
      </c>
      <c r="F60" s="34">
        <f t="shared" si="0"/>
        <v>11990</v>
      </c>
      <c r="G60" s="27"/>
      <c r="H60" s="27"/>
      <c r="I60" s="41"/>
      <c r="J60" s="69"/>
      <c r="K60" s="30"/>
      <c r="L60" s="39"/>
      <c r="M60" s="32"/>
    </row>
    <row r="61" spans="1:13">
      <c r="A61" s="33">
        <v>6.18</v>
      </c>
      <c r="B61" s="76" t="s">
        <v>81</v>
      </c>
      <c r="C61" s="25" t="s">
        <v>78</v>
      </c>
      <c r="D61" s="26">
        <v>4</v>
      </c>
      <c r="E61" s="26">
        <v>195</v>
      </c>
      <c r="F61" s="34">
        <f t="shared" si="0"/>
        <v>780</v>
      </c>
      <c r="G61" s="27"/>
      <c r="H61" s="27"/>
      <c r="I61" s="41"/>
      <c r="J61" s="69"/>
      <c r="K61" s="30"/>
      <c r="L61" s="39"/>
      <c r="M61" s="32"/>
    </row>
    <row r="62" spans="1:13" ht="73.5" customHeight="1">
      <c r="A62" s="33">
        <v>6.19</v>
      </c>
      <c r="B62" s="72" t="s">
        <v>82</v>
      </c>
      <c r="C62" s="25" t="s">
        <v>45</v>
      </c>
      <c r="D62" s="26">
        <v>1</v>
      </c>
      <c r="E62" s="26">
        <v>895000</v>
      </c>
      <c r="F62" s="34">
        <f t="shared" si="0"/>
        <v>895000</v>
      </c>
      <c r="G62" s="27"/>
      <c r="H62" s="27"/>
      <c r="I62" s="41"/>
      <c r="J62" s="69"/>
      <c r="K62" s="30"/>
      <c r="L62" s="39"/>
      <c r="M62" s="32"/>
    </row>
    <row r="63" spans="1:13" ht="120">
      <c r="A63" s="33">
        <v>6.2</v>
      </c>
      <c r="B63" s="72" t="s">
        <v>83</v>
      </c>
      <c r="C63" s="25" t="s">
        <v>45</v>
      </c>
      <c r="D63" s="26">
        <v>1</v>
      </c>
      <c r="E63" s="26">
        <v>75000</v>
      </c>
      <c r="F63" s="34">
        <f t="shared" si="0"/>
        <v>75000</v>
      </c>
      <c r="G63" s="27"/>
      <c r="H63" s="27"/>
      <c r="I63" s="41"/>
      <c r="J63" s="69"/>
      <c r="K63" s="30"/>
      <c r="L63" s="39"/>
      <c r="M63" s="32"/>
    </row>
    <row r="64" spans="1:13">
      <c r="A64" s="33"/>
      <c r="B64" s="68" t="s">
        <v>33</v>
      </c>
      <c r="C64" s="25"/>
      <c r="D64" s="26"/>
      <c r="E64" s="26"/>
      <c r="F64" s="47">
        <f>SUM(F44:F63)</f>
        <v>1153362.7453000001</v>
      </c>
      <c r="G64" s="27"/>
      <c r="H64" s="27"/>
      <c r="I64" s="41"/>
      <c r="J64" s="42"/>
      <c r="K64" s="30"/>
      <c r="L64" s="39"/>
      <c r="M64" s="32"/>
    </row>
    <row r="65" spans="1:13">
      <c r="A65" s="33">
        <v>7</v>
      </c>
      <c r="B65" s="68" t="s">
        <v>84</v>
      </c>
      <c r="C65" s="77"/>
      <c r="D65" s="26"/>
      <c r="E65" s="26"/>
      <c r="F65" s="34"/>
      <c r="G65" s="27"/>
      <c r="H65" s="27"/>
      <c r="I65" s="41"/>
      <c r="J65" s="42"/>
      <c r="K65" s="30"/>
      <c r="L65" s="39"/>
      <c r="M65" s="32"/>
    </row>
    <row r="66" spans="1:13" ht="24">
      <c r="A66" s="33">
        <v>7.01</v>
      </c>
      <c r="B66" s="72" t="s">
        <v>85</v>
      </c>
      <c r="C66" s="25" t="s">
        <v>36</v>
      </c>
      <c r="D66" s="26">
        <v>7.2</v>
      </c>
      <c r="E66" s="26">
        <v>201.6</v>
      </c>
      <c r="F66" s="34">
        <f t="shared" si="0"/>
        <v>1451.52</v>
      </c>
      <c r="G66" s="27"/>
      <c r="H66" s="27"/>
      <c r="I66" s="41"/>
      <c r="J66" s="42"/>
      <c r="K66" s="30"/>
      <c r="L66" s="39"/>
      <c r="M66" s="32"/>
    </row>
    <row r="67" spans="1:13">
      <c r="A67" s="33">
        <v>7.02</v>
      </c>
      <c r="B67" s="76" t="s">
        <v>37</v>
      </c>
      <c r="C67" s="25" t="s">
        <v>36</v>
      </c>
      <c r="D67" s="26">
        <v>1.98</v>
      </c>
      <c r="E67" s="26">
        <v>1970</v>
      </c>
      <c r="F67" s="34">
        <f t="shared" si="0"/>
        <v>3900.6</v>
      </c>
      <c r="G67" s="27"/>
      <c r="H67" s="27"/>
      <c r="I67" s="41"/>
      <c r="J67" s="42"/>
      <c r="K67" s="30"/>
      <c r="L67" s="39"/>
      <c r="M67" s="32"/>
    </row>
    <row r="68" spans="1:13" ht="24">
      <c r="A68" s="33">
        <v>7.03</v>
      </c>
      <c r="B68" s="72" t="s">
        <v>86</v>
      </c>
      <c r="C68" s="25" t="s">
        <v>36</v>
      </c>
      <c r="D68" s="26">
        <v>4.96</v>
      </c>
      <c r="E68" s="26">
        <v>717</v>
      </c>
      <c r="F68" s="34">
        <f t="shared" si="0"/>
        <v>3556.32</v>
      </c>
      <c r="G68" s="27"/>
      <c r="H68" s="27"/>
      <c r="I68" s="41"/>
      <c r="J68" s="42"/>
      <c r="K68" s="30"/>
      <c r="L68" s="39"/>
      <c r="M68" s="32"/>
    </row>
    <row r="69" spans="1:13">
      <c r="A69" s="33">
        <v>7.04</v>
      </c>
      <c r="B69" s="76" t="s">
        <v>50</v>
      </c>
      <c r="C69" s="25" t="s">
        <v>36</v>
      </c>
      <c r="D69" s="26">
        <v>2.69</v>
      </c>
      <c r="E69" s="26">
        <v>365.27</v>
      </c>
      <c r="F69" s="34">
        <f t="shared" si="0"/>
        <v>982.57629999999995</v>
      </c>
      <c r="G69" s="27"/>
      <c r="H69" s="27"/>
      <c r="I69" s="41"/>
      <c r="J69" s="42"/>
      <c r="K69" s="30"/>
      <c r="L69" s="39"/>
      <c r="M69" s="32"/>
    </row>
    <row r="70" spans="1:13">
      <c r="A70" s="70">
        <v>7.05</v>
      </c>
      <c r="B70" s="76" t="s">
        <v>87</v>
      </c>
      <c r="C70" s="25" t="s">
        <v>32</v>
      </c>
      <c r="D70" s="26">
        <v>1</v>
      </c>
      <c r="E70" s="26">
        <v>15000</v>
      </c>
      <c r="F70" s="34">
        <f t="shared" si="0"/>
        <v>15000</v>
      </c>
      <c r="G70" s="27"/>
      <c r="H70" s="27"/>
      <c r="I70" s="41"/>
      <c r="J70" s="42"/>
      <c r="K70" s="30"/>
      <c r="L70" s="39"/>
      <c r="M70" s="32"/>
    </row>
    <row r="71" spans="1:13" ht="36">
      <c r="A71" s="70">
        <v>7.06</v>
      </c>
      <c r="B71" s="72" t="s">
        <v>88</v>
      </c>
      <c r="C71" s="25" t="s">
        <v>36</v>
      </c>
      <c r="D71" s="26">
        <v>1.01</v>
      </c>
      <c r="E71" s="26">
        <v>38750</v>
      </c>
      <c r="F71" s="34">
        <f t="shared" si="0"/>
        <v>39137.5</v>
      </c>
      <c r="G71" s="27"/>
      <c r="H71" s="27"/>
      <c r="I71" s="41"/>
      <c r="J71" s="42"/>
      <c r="K71" s="30"/>
      <c r="L71" s="39"/>
      <c r="M71" s="32"/>
    </row>
    <row r="72" spans="1:13" ht="24">
      <c r="A72" s="33">
        <v>7.07</v>
      </c>
      <c r="B72" s="72" t="s">
        <v>52</v>
      </c>
      <c r="C72" s="25" t="s">
        <v>36</v>
      </c>
      <c r="D72" s="26">
        <v>2.4300000000000002</v>
      </c>
      <c r="E72" s="26">
        <v>21058.5</v>
      </c>
      <c r="F72" s="34">
        <f t="shared" si="0"/>
        <v>51172.155000000006</v>
      </c>
      <c r="G72" s="27"/>
      <c r="H72" s="27"/>
      <c r="I72" s="41"/>
      <c r="J72" s="42"/>
      <c r="K72" s="30"/>
      <c r="L72" s="39"/>
      <c r="M72" s="32"/>
    </row>
    <row r="73" spans="1:13" ht="36">
      <c r="A73" s="33">
        <v>7.08</v>
      </c>
      <c r="B73" s="72" t="s">
        <v>89</v>
      </c>
      <c r="C73" s="25" t="s">
        <v>36</v>
      </c>
      <c r="D73" s="26">
        <v>8.19</v>
      </c>
      <c r="E73" s="26">
        <v>24660.2</v>
      </c>
      <c r="F73" s="34">
        <f t="shared" si="0"/>
        <v>201967.038</v>
      </c>
      <c r="G73" s="27"/>
      <c r="H73" s="27"/>
      <c r="I73" s="41"/>
      <c r="J73" s="42"/>
      <c r="K73" s="30"/>
      <c r="L73" s="39"/>
      <c r="M73" s="32"/>
    </row>
    <row r="74" spans="1:13">
      <c r="A74" s="33">
        <v>7.09</v>
      </c>
      <c r="B74" s="76" t="s">
        <v>90</v>
      </c>
      <c r="C74" s="25" t="s">
        <v>36</v>
      </c>
      <c r="D74" s="26">
        <v>11.62</v>
      </c>
      <c r="E74" s="26">
        <v>87.01</v>
      </c>
      <c r="F74" s="34">
        <f t="shared" si="0"/>
        <v>1011.0562</v>
      </c>
      <c r="G74" s="27"/>
      <c r="H74" s="27"/>
      <c r="I74" s="41"/>
      <c r="J74" s="42"/>
      <c r="K74" s="30"/>
      <c r="L74" s="39"/>
      <c r="M74" s="32"/>
    </row>
    <row r="75" spans="1:13" ht="24">
      <c r="A75" s="33">
        <v>7.1</v>
      </c>
      <c r="B75" s="72" t="s">
        <v>91</v>
      </c>
      <c r="C75" s="25" t="s">
        <v>58</v>
      </c>
      <c r="D75" s="26">
        <v>11.62</v>
      </c>
      <c r="E75" s="26">
        <v>805.1</v>
      </c>
      <c r="F75" s="34">
        <f t="shared" si="0"/>
        <v>9355.2619999999988</v>
      </c>
      <c r="G75" s="27"/>
      <c r="H75" s="27"/>
      <c r="I75" s="41"/>
      <c r="J75" s="42"/>
      <c r="K75" s="30"/>
      <c r="L75" s="39"/>
      <c r="M75" s="32"/>
    </row>
    <row r="76" spans="1:13" ht="24">
      <c r="A76" s="33">
        <v>7.11</v>
      </c>
      <c r="B76" s="72" t="s">
        <v>92</v>
      </c>
      <c r="C76" s="25" t="s">
        <v>78</v>
      </c>
      <c r="D76" s="26">
        <v>1</v>
      </c>
      <c r="E76" s="26">
        <v>8200</v>
      </c>
      <c r="F76" s="34">
        <f t="shared" si="0"/>
        <v>8200</v>
      </c>
      <c r="G76" s="27"/>
      <c r="H76" s="27"/>
      <c r="I76" s="41"/>
      <c r="J76" s="42"/>
      <c r="K76" s="30"/>
      <c r="L76" s="39"/>
      <c r="M76" s="32"/>
    </row>
    <row r="77" spans="1:13">
      <c r="A77" s="33">
        <v>7.12</v>
      </c>
      <c r="B77" s="76" t="s">
        <v>93</v>
      </c>
      <c r="C77" s="25" t="s">
        <v>32</v>
      </c>
      <c r="D77" s="26">
        <v>1</v>
      </c>
      <c r="E77" s="26">
        <v>130000</v>
      </c>
      <c r="F77" s="34">
        <f t="shared" si="0"/>
        <v>130000</v>
      </c>
      <c r="G77" s="27"/>
      <c r="H77" s="27"/>
      <c r="I77" s="41"/>
      <c r="J77" s="42"/>
      <c r="K77" s="30"/>
      <c r="L77" s="39"/>
      <c r="M77" s="32"/>
    </row>
    <row r="78" spans="1:13" ht="24">
      <c r="A78" s="33">
        <v>7.13</v>
      </c>
      <c r="B78" s="72" t="s">
        <v>94</v>
      </c>
      <c r="C78" s="25" t="s">
        <v>30</v>
      </c>
      <c r="D78" s="26">
        <v>12</v>
      </c>
      <c r="E78" s="26">
        <v>3120</v>
      </c>
      <c r="F78" s="34">
        <f t="shared" ref="F78:F121" si="5">D78*E78</f>
        <v>37440</v>
      </c>
      <c r="G78" s="27"/>
      <c r="H78" s="27"/>
      <c r="I78" s="41"/>
      <c r="J78" s="42"/>
      <c r="K78" s="30"/>
      <c r="L78" s="39"/>
      <c r="M78" s="32"/>
    </row>
    <row r="79" spans="1:13">
      <c r="A79" s="33">
        <v>7.14</v>
      </c>
      <c r="B79" s="76" t="s">
        <v>95</v>
      </c>
      <c r="C79" s="25" t="s">
        <v>30</v>
      </c>
      <c r="D79" s="26">
        <v>3</v>
      </c>
      <c r="E79" s="26">
        <v>4080</v>
      </c>
      <c r="F79" s="34">
        <f t="shared" si="5"/>
        <v>12240</v>
      </c>
      <c r="G79" s="27"/>
      <c r="H79" s="27"/>
      <c r="I79" s="41"/>
      <c r="J79" s="42"/>
      <c r="K79" s="30"/>
      <c r="L79" s="39"/>
      <c r="M79" s="32"/>
    </row>
    <row r="80" spans="1:13">
      <c r="A80" s="33">
        <v>7.15</v>
      </c>
      <c r="B80" s="76" t="s">
        <v>96</v>
      </c>
      <c r="C80" s="45" t="s">
        <v>30</v>
      </c>
      <c r="D80" s="26">
        <v>1</v>
      </c>
      <c r="E80" s="26">
        <v>3120</v>
      </c>
      <c r="F80" s="34">
        <f t="shared" si="5"/>
        <v>3120</v>
      </c>
      <c r="G80" s="27"/>
      <c r="H80" s="27"/>
      <c r="I80" s="41"/>
      <c r="J80" s="69"/>
      <c r="K80" s="30"/>
      <c r="L80" s="39"/>
      <c r="M80" s="32"/>
    </row>
    <row r="81" spans="1:13" ht="36">
      <c r="A81" s="33">
        <v>7.16</v>
      </c>
      <c r="B81" s="72" t="s">
        <v>97</v>
      </c>
      <c r="C81" s="25" t="s">
        <v>78</v>
      </c>
      <c r="D81" s="26">
        <v>1</v>
      </c>
      <c r="E81" s="26">
        <v>30000</v>
      </c>
      <c r="F81" s="34">
        <f t="shared" si="5"/>
        <v>30000</v>
      </c>
      <c r="G81" s="27"/>
      <c r="H81" s="27"/>
      <c r="I81" s="41"/>
      <c r="J81" s="69"/>
      <c r="K81" s="30"/>
      <c r="L81" s="39"/>
      <c r="M81" s="32"/>
    </row>
    <row r="82" spans="1:13" ht="72">
      <c r="A82" s="33">
        <v>7.17</v>
      </c>
      <c r="B82" s="72" t="s">
        <v>98</v>
      </c>
      <c r="C82" s="25" t="s">
        <v>78</v>
      </c>
      <c r="D82" s="26">
        <v>2</v>
      </c>
      <c r="E82" s="26">
        <v>66000</v>
      </c>
      <c r="F82" s="34">
        <f t="shared" si="5"/>
        <v>132000</v>
      </c>
      <c r="G82" s="27"/>
      <c r="H82" s="27"/>
      <c r="I82" s="41"/>
      <c r="J82" s="69"/>
      <c r="K82" s="30"/>
      <c r="L82" s="39"/>
      <c r="M82" s="32"/>
    </row>
    <row r="83" spans="1:13">
      <c r="A83" s="33">
        <v>7.18</v>
      </c>
      <c r="B83" s="76" t="s">
        <v>99</v>
      </c>
      <c r="C83" s="25" t="s">
        <v>78</v>
      </c>
      <c r="D83" s="26">
        <v>1</v>
      </c>
      <c r="E83" s="26">
        <v>22000</v>
      </c>
      <c r="F83" s="34">
        <f t="shared" si="5"/>
        <v>22000</v>
      </c>
      <c r="G83" s="27"/>
      <c r="H83" s="27"/>
      <c r="I83" s="41"/>
      <c r="J83" s="69"/>
      <c r="K83" s="30"/>
      <c r="L83" s="39"/>
      <c r="M83" s="32"/>
    </row>
    <row r="84" spans="1:13">
      <c r="A84" s="33"/>
      <c r="B84" s="68" t="s">
        <v>33</v>
      </c>
      <c r="C84" s="25"/>
      <c r="D84" s="26"/>
      <c r="E84" s="26"/>
      <c r="F84" s="47">
        <f>SUM(F66:F83)</f>
        <v>702534.02749999997</v>
      </c>
      <c r="G84" s="27"/>
      <c r="H84" s="27"/>
      <c r="I84" s="41"/>
      <c r="J84" s="69"/>
      <c r="K84" s="30"/>
      <c r="L84" s="39"/>
      <c r="M84" s="32"/>
    </row>
    <row r="85" spans="1:13">
      <c r="A85" s="33">
        <v>8</v>
      </c>
      <c r="B85" s="68" t="s">
        <v>100</v>
      </c>
      <c r="C85" s="25"/>
      <c r="D85" s="26"/>
      <c r="E85" s="26"/>
      <c r="F85" s="34"/>
      <c r="G85" s="27"/>
      <c r="H85" s="27"/>
      <c r="I85" s="41"/>
      <c r="J85" s="69"/>
      <c r="K85" s="30"/>
      <c r="L85" s="39"/>
      <c r="M85" s="32"/>
    </row>
    <row r="86" spans="1:13">
      <c r="A86" s="33">
        <v>8.01</v>
      </c>
      <c r="B86" s="76" t="s">
        <v>101</v>
      </c>
      <c r="C86" s="25" t="s">
        <v>36</v>
      </c>
      <c r="D86" s="26">
        <v>26.66</v>
      </c>
      <c r="E86" s="26">
        <v>201.6</v>
      </c>
      <c r="F86" s="34">
        <f t="shared" si="5"/>
        <v>5374.6559999999999</v>
      </c>
      <c r="G86" s="27"/>
      <c r="H86" s="27"/>
      <c r="I86" s="41"/>
      <c r="J86" s="69"/>
      <c r="K86" s="30"/>
      <c r="L86" s="39"/>
      <c r="M86" s="32"/>
    </row>
    <row r="87" spans="1:13">
      <c r="A87" s="33">
        <v>8.02</v>
      </c>
      <c r="B87" s="76" t="s">
        <v>102</v>
      </c>
      <c r="C87" s="25" t="s">
        <v>30</v>
      </c>
      <c r="D87" s="26">
        <v>34.659999999999997</v>
      </c>
      <c r="E87" s="26">
        <v>150.09</v>
      </c>
      <c r="F87" s="34">
        <f t="shared" si="5"/>
        <v>5202.1193999999996</v>
      </c>
      <c r="G87" s="27"/>
      <c r="H87" s="27"/>
      <c r="I87" s="41"/>
      <c r="J87" s="69"/>
      <c r="K87" s="30"/>
      <c r="L87" s="39"/>
      <c r="M87" s="32"/>
    </row>
    <row r="88" spans="1:13">
      <c r="A88" s="33">
        <v>8.0299999999999994</v>
      </c>
      <c r="B88" s="72" t="s">
        <v>103</v>
      </c>
      <c r="C88" s="25" t="s">
        <v>36</v>
      </c>
      <c r="D88" s="26">
        <v>10.4</v>
      </c>
      <c r="E88" s="26">
        <v>365.27</v>
      </c>
      <c r="F88" s="34">
        <f t="shared" si="5"/>
        <v>3798.808</v>
      </c>
      <c r="G88" s="27"/>
      <c r="H88" s="27"/>
      <c r="I88" s="41"/>
      <c r="J88" s="69"/>
      <c r="K88" s="30"/>
      <c r="L88" s="39"/>
      <c r="M88" s="32"/>
    </row>
    <row r="89" spans="1:13" ht="24">
      <c r="A89" s="33">
        <v>8.0399999999999991</v>
      </c>
      <c r="B89" s="72" t="s">
        <v>104</v>
      </c>
      <c r="C89" s="25" t="s">
        <v>32</v>
      </c>
      <c r="D89" s="26">
        <v>1</v>
      </c>
      <c r="E89" s="26">
        <v>18500</v>
      </c>
      <c r="F89" s="34">
        <f t="shared" si="5"/>
        <v>18500</v>
      </c>
      <c r="G89" s="27"/>
      <c r="H89" s="27"/>
      <c r="I89" s="41"/>
      <c r="J89" s="69"/>
      <c r="K89" s="30"/>
      <c r="L89" s="39"/>
      <c r="M89" s="32"/>
    </row>
    <row r="90" spans="1:13" ht="24">
      <c r="A90" s="33">
        <v>8.0500000000000007</v>
      </c>
      <c r="B90" s="72" t="s">
        <v>105</v>
      </c>
      <c r="C90" s="25" t="s">
        <v>36</v>
      </c>
      <c r="D90" s="26">
        <v>11.5</v>
      </c>
      <c r="E90" s="26">
        <v>22350</v>
      </c>
      <c r="F90" s="34">
        <f t="shared" si="5"/>
        <v>257025</v>
      </c>
      <c r="G90" s="27"/>
      <c r="H90" s="27"/>
      <c r="I90" s="41"/>
      <c r="J90" s="69"/>
      <c r="K90" s="30"/>
      <c r="L90" s="39"/>
      <c r="M90" s="32"/>
    </row>
    <row r="91" spans="1:13" ht="24">
      <c r="A91" s="33">
        <v>8.06</v>
      </c>
      <c r="B91" s="72" t="s">
        <v>106</v>
      </c>
      <c r="C91" s="25" t="s">
        <v>36</v>
      </c>
      <c r="D91" s="26">
        <v>21.81</v>
      </c>
      <c r="E91" s="26">
        <v>25660</v>
      </c>
      <c r="F91" s="34">
        <f t="shared" si="5"/>
        <v>559644.6</v>
      </c>
      <c r="G91" s="27"/>
      <c r="H91" s="27"/>
      <c r="I91" s="41"/>
      <c r="J91" s="69"/>
      <c r="K91" s="30"/>
      <c r="L91" s="39"/>
      <c r="M91" s="32"/>
    </row>
    <row r="92" spans="1:13" ht="24">
      <c r="A92" s="33">
        <v>8.07</v>
      </c>
      <c r="B92" s="72" t="s">
        <v>107</v>
      </c>
      <c r="C92" s="25" t="s">
        <v>36</v>
      </c>
      <c r="D92" s="26">
        <v>40.57</v>
      </c>
      <c r="E92" s="26">
        <v>30534.83</v>
      </c>
      <c r="F92" s="34">
        <v>1238797.8500000001</v>
      </c>
      <c r="G92" s="27"/>
      <c r="H92" s="27"/>
      <c r="I92" s="41"/>
      <c r="J92" s="69"/>
      <c r="K92" s="30"/>
      <c r="L92" s="39"/>
      <c r="M92" s="32"/>
    </row>
    <row r="93" spans="1:13">
      <c r="A93" s="33">
        <v>8.08</v>
      </c>
      <c r="B93" s="76" t="s">
        <v>108</v>
      </c>
      <c r="C93" s="25" t="s">
        <v>58</v>
      </c>
      <c r="D93" s="26">
        <v>102.53</v>
      </c>
      <c r="E93" s="26">
        <v>87.01</v>
      </c>
      <c r="F93" s="34">
        <f t="shared" si="5"/>
        <v>8921.1352999999999</v>
      </c>
      <c r="G93" s="27"/>
      <c r="H93" s="27"/>
      <c r="I93" s="41"/>
      <c r="J93" s="69"/>
      <c r="K93" s="30"/>
      <c r="L93" s="39"/>
      <c r="M93" s="32"/>
    </row>
    <row r="94" spans="1:13">
      <c r="A94" s="33">
        <v>8.09</v>
      </c>
      <c r="B94" s="76" t="s">
        <v>109</v>
      </c>
      <c r="C94" s="25" t="s">
        <v>58</v>
      </c>
      <c r="D94" s="26">
        <v>135.83000000000001</v>
      </c>
      <c r="E94" s="26">
        <v>805.1</v>
      </c>
      <c r="F94" s="34">
        <f t="shared" si="5"/>
        <v>109356.73300000001</v>
      </c>
      <c r="G94" s="27"/>
      <c r="H94" s="27"/>
      <c r="I94" s="41"/>
      <c r="J94" s="69"/>
      <c r="K94" s="30"/>
      <c r="L94" s="39"/>
      <c r="M94" s="32"/>
    </row>
    <row r="95" spans="1:13">
      <c r="A95" s="33">
        <v>8.1</v>
      </c>
      <c r="B95" s="76" t="s">
        <v>110</v>
      </c>
      <c r="C95" s="25" t="s">
        <v>30</v>
      </c>
      <c r="D95" s="26">
        <v>64</v>
      </c>
      <c r="E95" s="26">
        <v>570</v>
      </c>
      <c r="F95" s="34">
        <f t="shared" si="5"/>
        <v>36480</v>
      </c>
      <c r="G95" s="27"/>
      <c r="H95" s="27"/>
      <c r="I95" s="41"/>
      <c r="J95" s="69"/>
      <c r="K95" s="30"/>
      <c r="L95" s="39"/>
      <c r="M95" s="32"/>
    </row>
    <row r="96" spans="1:13">
      <c r="A96" s="33">
        <v>8.11</v>
      </c>
      <c r="B96" s="76" t="s">
        <v>111</v>
      </c>
      <c r="C96" s="25" t="s">
        <v>58</v>
      </c>
      <c r="D96" s="26">
        <v>135.83000000000001</v>
      </c>
      <c r="E96" s="26">
        <v>224</v>
      </c>
      <c r="F96" s="34">
        <f t="shared" si="5"/>
        <v>30425.920000000002</v>
      </c>
      <c r="G96" s="27"/>
      <c r="H96" s="27"/>
      <c r="I96" s="41"/>
      <c r="J96" s="69"/>
      <c r="K96" s="30"/>
      <c r="L96" s="39"/>
      <c r="M96" s="32"/>
    </row>
    <row r="97" spans="1:13">
      <c r="A97" s="33">
        <v>8.1199999999999992</v>
      </c>
      <c r="B97" s="76" t="s">
        <v>112</v>
      </c>
      <c r="C97" s="25" t="s">
        <v>78</v>
      </c>
      <c r="D97" s="26">
        <v>2</v>
      </c>
      <c r="E97" s="26">
        <v>95000</v>
      </c>
      <c r="F97" s="34">
        <f t="shared" si="5"/>
        <v>190000</v>
      </c>
      <c r="G97" s="27"/>
      <c r="H97" s="27"/>
      <c r="I97" s="41"/>
      <c r="J97" s="69"/>
      <c r="K97" s="30"/>
      <c r="L97" s="39"/>
      <c r="M97" s="32"/>
    </row>
    <row r="98" spans="1:13" ht="24">
      <c r="A98" s="33">
        <v>8.1300000000000008</v>
      </c>
      <c r="B98" s="72" t="s">
        <v>92</v>
      </c>
      <c r="C98" s="25" t="s">
        <v>78</v>
      </c>
      <c r="D98" s="26">
        <v>2</v>
      </c>
      <c r="E98" s="26">
        <v>8500</v>
      </c>
      <c r="F98" s="34">
        <f t="shared" si="5"/>
        <v>17000</v>
      </c>
      <c r="G98" s="27"/>
      <c r="H98" s="27"/>
      <c r="I98" s="41"/>
      <c r="J98" s="69"/>
      <c r="K98" s="30"/>
      <c r="L98" s="39"/>
      <c r="M98" s="32"/>
    </row>
    <row r="99" spans="1:13">
      <c r="A99" s="33">
        <v>8.14</v>
      </c>
      <c r="B99" s="76" t="s">
        <v>113</v>
      </c>
      <c r="C99" s="45" t="s">
        <v>58</v>
      </c>
      <c r="D99" s="26">
        <v>50.77</v>
      </c>
      <c r="E99" s="26">
        <v>224</v>
      </c>
      <c r="F99" s="34">
        <f t="shared" si="5"/>
        <v>11372.480000000001</v>
      </c>
      <c r="G99" s="27"/>
      <c r="H99" s="27"/>
      <c r="I99" s="41"/>
      <c r="J99" s="69"/>
      <c r="K99" s="30"/>
      <c r="L99" s="39"/>
      <c r="M99" s="32"/>
    </row>
    <row r="100" spans="1:13">
      <c r="A100" s="70">
        <v>8.15</v>
      </c>
      <c r="B100" s="76" t="s">
        <v>114</v>
      </c>
      <c r="C100" s="45" t="s">
        <v>30</v>
      </c>
      <c r="D100" s="26">
        <v>2</v>
      </c>
      <c r="E100" s="26">
        <v>3120</v>
      </c>
      <c r="F100" s="34">
        <f t="shared" si="5"/>
        <v>6240</v>
      </c>
      <c r="G100" s="27"/>
      <c r="H100" s="27"/>
      <c r="I100" s="41"/>
      <c r="J100" s="69"/>
      <c r="K100" s="30"/>
      <c r="L100" s="39"/>
      <c r="M100" s="32"/>
    </row>
    <row r="101" spans="1:13" ht="72">
      <c r="A101" s="33">
        <v>8.16</v>
      </c>
      <c r="B101" s="72" t="s">
        <v>115</v>
      </c>
      <c r="C101" s="25" t="s">
        <v>78</v>
      </c>
      <c r="D101" s="26">
        <v>6</v>
      </c>
      <c r="E101" s="26">
        <v>4100</v>
      </c>
      <c r="F101" s="34">
        <f t="shared" si="5"/>
        <v>24600</v>
      </c>
      <c r="G101" s="27"/>
      <c r="H101" s="27"/>
      <c r="I101" s="41"/>
      <c r="J101" s="42"/>
      <c r="K101" s="30"/>
      <c r="L101" s="39"/>
      <c r="M101" s="32"/>
    </row>
    <row r="102" spans="1:13" ht="48">
      <c r="A102" s="33">
        <v>8.17</v>
      </c>
      <c r="B102" s="72" t="s">
        <v>116</v>
      </c>
      <c r="C102" s="25" t="s">
        <v>78</v>
      </c>
      <c r="D102" s="26">
        <v>1</v>
      </c>
      <c r="E102" s="26">
        <v>3200</v>
      </c>
      <c r="F102" s="34">
        <f t="shared" si="5"/>
        <v>3200</v>
      </c>
      <c r="G102" s="27"/>
      <c r="H102" s="27"/>
      <c r="I102" s="41"/>
      <c r="J102" s="42"/>
      <c r="K102" s="30"/>
      <c r="L102" s="39"/>
      <c r="M102" s="32"/>
    </row>
    <row r="103" spans="1:13">
      <c r="A103" s="33">
        <v>8.18</v>
      </c>
      <c r="B103" s="76" t="s">
        <v>117</v>
      </c>
      <c r="C103" s="25" t="s">
        <v>32</v>
      </c>
      <c r="D103" s="26">
        <v>1</v>
      </c>
      <c r="E103" s="26">
        <v>4500</v>
      </c>
      <c r="F103" s="34">
        <f t="shared" si="5"/>
        <v>4500</v>
      </c>
      <c r="G103" s="27"/>
      <c r="H103" s="27"/>
      <c r="I103" s="41"/>
      <c r="J103" s="42"/>
      <c r="K103" s="30"/>
      <c r="L103" s="39"/>
      <c r="M103" s="32"/>
    </row>
    <row r="104" spans="1:13">
      <c r="A104" s="33">
        <v>8.19</v>
      </c>
      <c r="B104" s="76" t="s">
        <v>118</v>
      </c>
      <c r="C104" s="25" t="s">
        <v>78</v>
      </c>
      <c r="D104" s="26">
        <v>1</v>
      </c>
      <c r="E104" s="26">
        <v>1700</v>
      </c>
      <c r="F104" s="34">
        <f t="shared" si="5"/>
        <v>1700</v>
      </c>
      <c r="G104" s="27"/>
      <c r="H104" s="27"/>
      <c r="I104" s="41"/>
      <c r="J104" s="42"/>
      <c r="K104" s="30"/>
      <c r="L104" s="39"/>
      <c r="M104" s="32"/>
    </row>
    <row r="105" spans="1:13">
      <c r="A105" s="70">
        <v>8.1999999999999993</v>
      </c>
      <c r="B105" s="76" t="s">
        <v>119</v>
      </c>
      <c r="C105" s="25" t="s">
        <v>78</v>
      </c>
      <c r="D105" s="26">
        <v>3</v>
      </c>
      <c r="E105" s="26">
        <v>850</v>
      </c>
      <c r="F105" s="34">
        <f t="shared" si="5"/>
        <v>2550</v>
      </c>
      <c r="G105" s="27"/>
      <c r="H105" s="27"/>
      <c r="I105" s="41"/>
      <c r="J105" s="42"/>
      <c r="K105" s="30"/>
      <c r="L105" s="39"/>
      <c r="M105" s="32"/>
    </row>
    <row r="106" spans="1:13">
      <c r="A106" s="70"/>
      <c r="B106" s="68" t="s">
        <v>33</v>
      </c>
      <c r="C106" s="25"/>
      <c r="D106" s="26"/>
      <c r="E106" s="26"/>
      <c r="F106" s="47">
        <f>SUM(F86:F105)</f>
        <v>2534689.3017000002</v>
      </c>
      <c r="G106" s="27"/>
      <c r="H106" s="27"/>
      <c r="I106" s="41"/>
      <c r="J106" s="42"/>
      <c r="K106" s="30"/>
      <c r="L106" s="39"/>
      <c r="M106" s="32"/>
    </row>
    <row r="107" spans="1:13">
      <c r="A107" s="78">
        <v>9</v>
      </c>
      <c r="B107" s="68" t="s">
        <v>120</v>
      </c>
      <c r="C107" s="25"/>
      <c r="D107" s="26"/>
      <c r="E107" s="26"/>
      <c r="F107" s="34"/>
      <c r="G107" s="27"/>
      <c r="H107" s="27"/>
      <c r="I107" s="41"/>
      <c r="J107" s="42"/>
      <c r="K107" s="30"/>
      <c r="L107" s="39"/>
      <c r="M107" s="32"/>
    </row>
    <row r="108" spans="1:13">
      <c r="A108" s="70">
        <v>9.01</v>
      </c>
      <c r="B108" s="76" t="s">
        <v>121</v>
      </c>
      <c r="C108" s="25" t="s">
        <v>58</v>
      </c>
      <c r="D108" s="26">
        <v>15.51</v>
      </c>
      <c r="E108" s="26">
        <v>1004</v>
      </c>
      <c r="F108" s="34">
        <f t="shared" si="5"/>
        <v>15572.039999999999</v>
      </c>
      <c r="G108" s="27"/>
      <c r="H108" s="27"/>
      <c r="I108" s="41"/>
      <c r="J108" s="42"/>
      <c r="K108" s="30"/>
      <c r="L108" s="39"/>
      <c r="M108" s="32"/>
    </row>
    <row r="109" spans="1:13">
      <c r="A109" s="33">
        <v>9.02</v>
      </c>
      <c r="B109" s="76" t="s">
        <v>122</v>
      </c>
      <c r="C109" s="45" t="s">
        <v>36</v>
      </c>
      <c r="D109" s="26">
        <v>12</v>
      </c>
      <c r="E109" s="26">
        <v>2450</v>
      </c>
      <c r="F109" s="34">
        <f t="shared" si="5"/>
        <v>29400</v>
      </c>
      <c r="G109" s="27"/>
      <c r="H109" s="27"/>
      <c r="I109" s="41"/>
      <c r="J109" s="69"/>
      <c r="K109" s="30"/>
      <c r="L109" s="31"/>
      <c r="M109" s="32"/>
    </row>
    <row r="110" spans="1:13">
      <c r="A110" s="33">
        <v>9.0299999999999994</v>
      </c>
      <c r="B110" s="76" t="s">
        <v>123</v>
      </c>
      <c r="C110" s="25" t="s">
        <v>30</v>
      </c>
      <c r="D110" s="26">
        <v>42.99</v>
      </c>
      <c r="E110" s="26">
        <v>2595</v>
      </c>
      <c r="F110" s="34">
        <f t="shared" si="5"/>
        <v>111559.05</v>
      </c>
      <c r="G110" s="27"/>
      <c r="H110" s="27"/>
      <c r="I110" s="41"/>
      <c r="J110" s="69"/>
      <c r="K110" s="30"/>
      <c r="L110" s="31"/>
      <c r="M110" s="32"/>
    </row>
    <row r="111" spans="1:13">
      <c r="A111" s="33">
        <v>9.0399999999999991</v>
      </c>
      <c r="B111" s="76" t="s">
        <v>124</v>
      </c>
      <c r="C111" s="25" t="s">
        <v>32</v>
      </c>
      <c r="D111" s="26">
        <v>1</v>
      </c>
      <c r="E111" s="26">
        <v>21500</v>
      </c>
      <c r="F111" s="34">
        <f t="shared" si="5"/>
        <v>21500</v>
      </c>
      <c r="G111" s="27"/>
      <c r="H111" s="27"/>
      <c r="I111" s="41"/>
      <c r="J111" s="42"/>
      <c r="K111" s="30"/>
      <c r="L111" s="39"/>
      <c r="M111" s="32"/>
    </row>
    <row r="112" spans="1:13">
      <c r="A112" s="33"/>
      <c r="B112" s="68" t="s">
        <v>33</v>
      </c>
      <c r="C112" s="25"/>
      <c r="D112" s="26"/>
      <c r="E112" s="26"/>
      <c r="F112" s="47">
        <f>SUM(F108:F111)</f>
        <v>178031.09</v>
      </c>
      <c r="G112" s="27"/>
      <c r="H112" s="27"/>
      <c r="I112" s="41"/>
      <c r="J112" s="42"/>
      <c r="K112" s="30"/>
      <c r="L112" s="39"/>
      <c r="M112" s="32"/>
    </row>
    <row r="113" spans="1:13">
      <c r="A113" s="74" t="s">
        <v>125</v>
      </c>
      <c r="B113" s="68" t="s">
        <v>126</v>
      </c>
      <c r="C113" s="25"/>
      <c r="D113" s="26"/>
      <c r="E113" s="26"/>
      <c r="F113" s="34"/>
      <c r="G113" s="27"/>
      <c r="H113" s="27"/>
      <c r="I113" s="41"/>
      <c r="J113" s="42"/>
      <c r="K113" s="30"/>
      <c r="L113" s="39"/>
      <c r="M113" s="32"/>
    </row>
    <row r="114" spans="1:13">
      <c r="A114" s="74">
        <v>1</v>
      </c>
      <c r="B114" s="68" t="s">
        <v>127</v>
      </c>
      <c r="C114" s="25"/>
      <c r="D114" s="26"/>
      <c r="E114" s="26"/>
      <c r="F114" s="34"/>
      <c r="G114" s="27"/>
      <c r="H114" s="27"/>
      <c r="I114" s="41"/>
      <c r="J114" s="42"/>
      <c r="K114" s="30"/>
      <c r="L114" s="39"/>
      <c r="M114" s="32"/>
    </row>
    <row r="115" spans="1:13" ht="24">
      <c r="A115" s="33">
        <v>1.01</v>
      </c>
      <c r="B115" s="72" t="s">
        <v>128</v>
      </c>
      <c r="C115" s="79" t="s">
        <v>78</v>
      </c>
      <c r="D115" s="80">
        <v>1</v>
      </c>
      <c r="E115" s="80">
        <v>160000</v>
      </c>
      <c r="F115" s="81">
        <f t="shared" si="5"/>
        <v>160000</v>
      </c>
      <c r="G115" s="27"/>
      <c r="H115" s="27"/>
      <c r="I115" s="41"/>
      <c r="J115" s="42"/>
      <c r="K115" s="30"/>
      <c r="L115" s="39"/>
      <c r="M115" s="32"/>
    </row>
    <row r="116" spans="1:13">
      <c r="A116" s="33"/>
      <c r="B116" s="68" t="s">
        <v>33</v>
      </c>
      <c r="C116" s="25"/>
      <c r="D116" s="26"/>
      <c r="E116" s="26"/>
      <c r="F116" s="47">
        <f>F115</f>
        <v>160000</v>
      </c>
      <c r="G116" s="27"/>
      <c r="H116" s="27"/>
      <c r="I116" s="41"/>
      <c r="J116" s="42"/>
      <c r="K116" s="30"/>
      <c r="L116" s="39"/>
      <c r="M116" s="32"/>
    </row>
    <row r="117" spans="1:13">
      <c r="A117" s="33">
        <v>2</v>
      </c>
      <c r="B117" s="76" t="s">
        <v>129</v>
      </c>
      <c r="C117" s="25"/>
      <c r="D117" s="26"/>
      <c r="E117" s="26"/>
      <c r="F117" s="34"/>
      <c r="G117" s="27"/>
      <c r="H117" s="27"/>
      <c r="I117" s="41"/>
      <c r="J117" s="42"/>
      <c r="K117" s="30"/>
      <c r="L117" s="39"/>
      <c r="M117" s="32"/>
    </row>
    <row r="118" spans="1:13">
      <c r="A118" s="33">
        <v>2.0099999999999998</v>
      </c>
      <c r="B118" s="76" t="s">
        <v>130</v>
      </c>
      <c r="C118" s="25" t="s">
        <v>32</v>
      </c>
      <c r="D118" s="26">
        <v>1</v>
      </c>
      <c r="E118" s="26">
        <v>800000</v>
      </c>
      <c r="F118" s="34">
        <f t="shared" si="5"/>
        <v>800000</v>
      </c>
      <c r="G118" s="27"/>
      <c r="H118" s="27"/>
      <c r="I118" s="41"/>
      <c r="J118" s="42"/>
      <c r="K118" s="30"/>
      <c r="L118" s="39"/>
      <c r="M118" s="32"/>
    </row>
    <row r="119" spans="1:13">
      <c r="A119" s="33"/>
      <c r="B119" s="68" t="s">
        <v>33</v>
      </c>
      <c r="C119" s="25"/>
      <c r="D119" s="26"/>
      <c r="E119" s="26"/>
      <c r="F119" s="47">
        <f>F118</f>
        <v>800000</v>
      </c>
      <c r="G119" s="27"/>
      <c r="H119" s="27"/>
      <c r="I119" s="41"/>
      <c r="J119" s="42"/>
      <c r="K119" s="30"/>
      <c r="L119" s="39"/>
      <c r="M119" s="32"/>
    </row>
    <row r="120" spans="1:13">
      <c r="A120" s="74">
        <v>3</v>
      </c>
      <c r="B120" s="68" t="s">
        <v>129</v>
      </c>
      <c r="C120" s="25"/>
      <c r="D120" s="26"/>
      <c r="E120" s="26"/>
      <c r="F120" s="34"/>
      <c r="G120" s="27"/>
      <c r="H120" s="27"/>
      <c r="I120" s="41"/>
      <c r="J120" s="42"/>
      <c r="K120" s="30"/>
      <c r="L120" s="39"/>
      <c r="M120" s="32"/>
    </row>
    <row r="121" spans="1:13">
      <c r="A121" s="33">
        <v>3.01</v>
      </c>
      <c r="B121" s="76" t="s">
        <v>129</v>
      </c>
      <c r="C121" s="25" t="s">
        <v>32</v>
      </c>
      <c r="D121" s="26">
        <v>1</v>
      </c>
      <c r="E121" s="26">
        <v>85000</v>
      </c>
      <c r="F121" s="34">
        <f t="shared" si="5"/>
        <v>85000</v>
      </c>
      <c r="G121" s="82"/>
      <c r="H121" s="82"/>
      <c r="I121" s="83"/>
      <c r="J121" s="84"/>
      <c r="K121" s="85"/>
      <c r="L121" s="39"/>
      <c r="M121" s="86"/>
    </row>
    <row r="122" spans="1:13">
      <c r="A122" s="33"/>
      <c r="B122" s="68" t="s">
        <v>33</v>
      </c>
      <c r="C122" s="77"/>
      <c r="D122" s="26"/>
      <c r="E122" s="26"/>
      <c r="F122" s="47">
        <f>F121</f>
        <v>85000</v>
      </c>
      <c r="G122" s="87"/>
      <c r="H122" s="87"/>
      <c r="I122" s="87"/>
      <c r="J122" s="87"/>
      <c r="K122" s="30"/>
      <c r="L122" s="39"/>
      <c r="M122" s="39"/>
    </row>
    <row r="123" spans="1:13">
      <c r="A123" s="74"/>
      <c r="B123" s="68" t="s">
        <v>131</v>
      </c>
      <c r="C123" s="77"/>
      <c r="D123" s="26"/>
      <c r="E123" s="26"/>
      <c r="F123" s="47">
        <f>F122+F119+F116+F112+F106+F84+F64+F42+F29+F20+F24+F14</f>
        <v>12105853.5273</v>
      </c>
      <c r="G123" s="87"/>
      <c r="H123" s="87"/>
      <c r="I123" s="87"/>
      <c r="J123" s="87"/>
      <c r="K123" s="30"/>
      <c r="L123" s="88">
        <f>L24+L20+L13</f>
        <v>3191350.8659999999</v>
      </c>
      <c r="M123" s="89">
        <f>K123+L123</f>
        <v>3191350.8659999999</v>
      </c>
    </row>
    <row r="138" spans="1:14">
      <c r="B138" s="1111" t="s">
        <v>0</v>
      </c>
      <c r="C138" s="1111"/>
      <c r="D138" s="1111"/>
      <c r="E138" s="1111"/>
      <c r="F138" s="1111"/>
      <c r="G138" s="1111"/>
      <c r="H138" s="1111"/>
      <c r="I138" s="1111"/>
      <c r="J138" s="1111"/>
      <c r="K138" s="1111"/>
      <c r="L138" s="1111"/>
      <c r="M138" s="1111"/>
      <c r="N138" s="1111"/>
    </row>
    <row r="139" spans="1:14">
      <c r="B139" s="1121" t="s">
        <v>1</v>
      </c>
      <c r="C139" s="1121"/>
      <c r="D139" s="1121"/>
      <c r="E139" s="1121"/>
      <c r="F139" s="1121"/>
      <c r="G139" s="1121"/>
      <c r="H139" s="1121"/>
      <c r="I139" s="1121"/>
      <c r="J139" s="1121"/>
      <c r="K139" s="1121"/>
      <c r="L139" s="1121"/>
      <c r="M139" s="1121"/>
      <c r="N139" s="1121"/>
    </row>
    <row r="140" spans="1:14"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3" t="s">
        <v>2</v>
      </c>
    </row>
    <row r="141" spans="1:14">
      <c r="A141" s="4"/>
      <c r="B141" s="5" t="s">
        <v>3</v>
      </c>
      <c r="C141" s="6" t="s">
        <v>4</v>
      </c>
      <c r="D141" s="6"/>
      <c r="E141" s="6"/>
      <c r="F141" s="6"/>
      <c r="G141" s="7"/>
      <c r="H141" s="4"/>
      <c r="I141" s="4"/>
      <c r="J141" s="4"/>
      <c r="K141" s="4"/>
      <c r="L141" s="5" t="s">
        <v>5</v>
      </c>
      <c r="M141" s="8" t="str">
        <f>M5</f>
        <v>RD$14,514,918.38</v>
      </c>
    </row>
    <row r="142" spans="1:14">
      <c r="A142" s="4"/>
      <c r="B142" s="5" t="s">
        <v>7</v>
      </c>
      <c r="C142" s="9">
        <v>1</v>
      </c>
      <c r="D142" s="4"/>
      <c r="E142" s="6"/>
      <c r="F142" s="6"/>
      <c r="G142" s="6"/>
      <c r="H142" s="4"/>
      <c r="I142" s="4"/>
      <c r="J142" s="4"/>
      <c r="K142" s="4"/>
      <c r="L142" s="5" t="s">
        <v>8</v>
      </c>
      <c r="M142" s="8">
        <f>M6</f>
        <v>2902983.676</v>
      </c>
    </row>
    <row r="143" spans="1:14">
      <c r="A143" s="4"/>
      <c r="B143" s="5" t="s">
        <v>9</v>
      </c>
      <c r="C143" s="6" t="s">
        <v>10</v>
      </c>
      <c r="D143" s="6"/>
      <c r="E143" s="6"/>
      <c r="F143" s="6"/>
      <c r="G143" s="10"/>
      <c r="H143" s="4"/>
      <c r="I143" s="4"/>
      <c r="J143" s="4"/>
      <c r="K143" s="4"/>
      <c r="L143" s="5" t="s">
        <v>11</v>
      </c>
      <c r="M143" s="11" t="s">
        <v>12</v>
      </c>
    </row>
    <row r="144" spans="1:14">
      <c r="A144" s="4"/>
      <c r="B144" s="5" t="s">
        <v>13</v>
      </c>
      <c r="C144" s="6" t="s">
        <v>132</v>
      </c>
      <c r="D144" s="6"/>
      <c r="E144" s="6"/>
      <c r="F144" s="6"/>
      <c r="G144" s="6"/>
      <c r="H144" s="4"/>
      <c r="I144" s="4"/>
      <c r="J144" s="4"/>
      <c r="K144" s="4"/>
      <c r="L144" s="4"/>
      <c r="M144" s="4"/>
    </row>
    <row r="146" spans="2:13">
      <c r="E146" s="90"/>
    </row>
    <row r="147" spans="2:13">
      <c r="C147" s="1"/>
      <c r="D147" s="91"/>
      <c r="E147" s="1122" t="s">
        <v>21</v>
      </c>
      <c r="F147" s="1122"/>
      <c r="H147" s="1123" t="s">
        <v>24</v>
      </c>
      <c r="I147" s="1123"/>
      <c r="J147" s="1111" t="s">
        <v>25</v>
      </c>
      <c r="K147" s="1111"/>
      <c r="L147" s="1111" t="s">
        <v>26</v>
      </c>
      <c r="M147" s="1111"/>
    </row>
    <row r="148" spans="2:13">
      <c r="E148" s="1113">
        <f>F123</f>
        <v>12105853.5273</v>
      </c>
      <c r="F148" s="1113"/>
      <c r="H148" s="1117"/>
      <c r="I148" s="1117"/>
      <c r="J148" s="1118">
        <f>L123</f>
        <v>3191350.8659999999</v>
      </c>
      <c r="K148" s="1118"/>
      <c r="L148" s="1113">
        <f>H148+J148</f>
        <v>3191350.8659999999</v>
      </c>
      <c r="M148" s="1113"/>
    </row>
    <row r="149" spans="2:13">
      <c r="J149" s="93"/>
      <c r="K149" s="93"/>
    </row>
    <row r="150" spans="2:13">
      <c r="B150" s="9" t="s">
        <v>133</v>
      </c>
      <c r="C150" s="94"/>
      <c r="D150" s="94"/>
      <c r="E150" s="1120"/>
      <c r="F150" s="1120"/>
      <c r="J150" s="93"/>
      <c r="K150" s="93"/>
    </row>
    <row r="151" spans="2:13">
      <c r="B151" s="6" t="s">
        <v>134</v>
      </c>
      <c r="C151" s="94"/>
      <c r="D151" s="96">
        <v>0.02</v>
      </c>
      <c r="E151" s="1114">
        <f>D151*F123</f>
        <v>242117.070546</v>
      </c>
      <c r="F151" s="1114"/>
      <c r="G151" s="97"/>
      <c r="H151" s="1117"/>
      <c r="I151" s="1117"/>
      <c r="J151" s="1118">
        <f>J148*D151</f>
        <v>63827.017319999999</v>
      </c>
      <c r="K151" s="1118"/>
      <c r="L151" s="1113">
        <f>H151+J151</f>
        <v>63827.017319999999</v>
      </c>
      <c r="M151" s="1113"/>
    </row>
    <row r="152" spans="2:13">
      <c r="B152" s="6" t="s">
        <v>135</v>
      </c>
      <c r="C152" s="94"/>
      <c r="D152" s="98">
        <v>0.1</v>
      </c>
      <c r="E152" s="1114">
        <f>D152*F123</f>
        <v>1210585.3527300002</v>
      </c>
      <c r="F152" s="1114"/>
      <c r="G152" s="97"/>
      <c r="H152" s="1117"/>
      <c r="I152" s="1117"/>
      <c r="J152" s="1118">
        <f>J148*D152</f>
        <v>319135.08660000004</v>
      </c>
      <c r="K152" s="1118"/>
      <c r="L152" s="1113">
        <f t="shared" ref="L152:L157" si="6">H152+J152</f>
        <v>319135.08660000004</v>
      </c>
      <c r="M152" s="1113"/>
    </row>
    <row r="153" spans="2:13">
      <c r="B153" s="6" t="s">
        <v>136</v>
      </c>
      <c r="C153" s="94"/>
      <c r="D153" s="98">
        <v>0.18</v>
      </c>
      <c r="E153" s="1114">
        <f>D153*E152</f>
        <v>217905.36349140003</v>
      </c>
      <c r="F153" s="1114"/>
      <c r="G153" s="97"/>
      <c r="H153" s="1117"/>
      <c r="I153" s="1117"/>
      <c r="J153" s="1118">
        <f>J152*D153</f>
        <v>57444.315588000005</v>
      </c>
      <c r="K153" s="1118"/>
      <c r="L153" s="1113">
        <f t="shared" si="6"/>
        <v>57444.315588000005</v>
      </c>
      <c r="M153" s="1113"/>
    </row>
    <row r="154" spans="2:13">
      <c r="B154" s="6" t="s">
        <v>137</v>
      </c>
      <c r="C154" s="98"/>
      <c r="D154" s="99">
        <v>0.03</v>
      </c>
      <c r="E154" s="1114">
        <f>D154*F123</f>
        <v>363175.60581899999</v>
      </c>
      <c r="F154" s="1114"/>
      <c r="G154" s="97"/>
      <c r="H154" s="1117"/>
      <c r="I154" s="1117"/>
      <c r="J154" s="1118">
        <f>J148*D154</f>
        <v>95740.525979999991</v>
      </c>
      <c r="K154" s="1118"/>
      <c r="L154" s="1113">
        <f t="shared" si="6"/>
        <v>95740.525979999991</v>
      </c>
      <c r="M154" s="1113"/>
    </row>
    <row r="155" spans="2:13">
      <c r="B155" s="6" t="s">
        <v>138</v>
      </c>
      <c r="C155" s="94"/>
      <c r="D155" s="94">
        <v>0.02</v>
      </c>
      <c r="E155" s="1114">
        <f>D155*F123</f>
        <v>242117.070546</v>
      </c>
      <c r="F155" s="1114"/>
      <c r="G155" s="97"/>
      <c r="H155" s="1117"/>
      <c r="I155" s="1117"/>
      <c r="J155" s="1118">
        <f>J148*D155</f>
        <v>63827.017319999999</v>
      </c>
      <c r="K155" s="1118"/>
      <c r="L155" s="1113">
        <f t="shared" si="6"/>
        <v>63827.017319999999</v>
      </c>
      <c r="M155" s="1113"/>
    </row>
    <row r="156" spans="2:13">
      <c r="B156" s="6" t="s">
        <v>139</v>
      </c>
      <c r="C156" s="94"/>
      <c r="D156" s="98">
        <v>0.01</v>
      </c>
      <c r="E156" s="1114">
        <f>D156*F123</f>
        <v>121058.535273</v>
      </c>
      <c r="F156" s="1114"/>
      <c r="G156" s="97"/>
      <c r="H156" s="1117"/>
      <c r="I156" s="1117"/>
      <c r="J156" s="1118">
        <f>J148*D156</f>
        <v>31913.50866</v>
      </c>
      <c r="K156" s="1118"/>
      <c r="L156" s="1113">
        <f t="shared" si="6"/>
        <v>31913.50866</v>
      </c>
      <c r="M156" s="1113"/>
    </row>
    <row r="157" spans="2:13">
      <c r="B157" s="6" t="s">
        <v>140</v>
      </c>
      <c r="C157" s="94"/>
      <c r="D157" s="94">
        <v>1E-3</v>
      </c>
      <c r="E157" s="1114">
        <f>D157*F123</f>
        <v>12105.8535273</v>
      </c>
      <c r="F157" s="1114"/>
      <c r="G157" s="97"/>
      <c r="H157" s="1117"/>
      <c r="I157" s="1117"/>
      <c r="J157" s="1118">
        <f>J148*D157</f>
        <v>3191.3508659999998</v>
      </c>
      <c r="K157" s="1118"/>
      <c r="L157" s="1113">
        <f t="shared" si="6"/>
        <v>3191.3508659999998</v>
      </c>
      <c r="M157" s="1113"/>
    </row>
    <row r="158" spans="2:13">
      <c r="B158" s="6"/>
      <c r="C158" s="94"/>
      <c r="D158" s="98"/>
      <c r="E158" s="1114"/>
      <c r="F158" s="1114"/>
      <c r="G158" s="97"/>
      <c r="J158" s="100"/>
      <c r="K158" s="100"/>
      <c r="L158" s="1119"/>
      <c r="M158" s="1119"/>
    </row>
    <row r="159" spans="2:13">
      <c r="B159" s="102" t="s">
        <v>141</v>
      </c>
      <c r="C159" s="98"/>
      <c r="D159" s="1"/>
      <c r="E159" s="1114">
        <f>SUM(E151:F158)</f>
        <v>2409064.8519327003</v>
      </c>
      <c r="F159" s="1114"/>
      <c r="G159" s="97"/>
      <c r="J159" s="1115">
        <f>SUM(J151:K157)</f>
        <v>635078.82233400014</v>
      </c>
      <c r="K159" s="1115"/>
      <c r="L159" s="1113">
        <f>H159+J159</f>
        <v>635078.82233400014</v>
      </c>
      <c r="M159" s="1113"/>
    </row>
    <row r="160" spans="2:13">
      <c r="B160" s="6"/>
      <c r="C160" s="103"/>
      <c r="D160" s="104"/>
      <c r="E160" s="1114"/>
      <c r="F160" s="1114"/>
      <c r="G160" s="97"/>
      <c r="J160" s="97"/>
      <c r="K160" s="97"/>
      <c r="L160" s="1116"/>
      <c r="M160" s="1116"/>
    </row>
    <row r="161" spans="1:14">
      <c r="B161" s="6" t="s">
        <v>142</v>
      </c>
      <c r="C161" s="103"/>
      <c r="D161" s="105"/>
      <c r="E161" s="1114">
        <v>14514918.380000001</v>
      </c>
      <c r="F161" s="1114"/>
      <c r="G161" s="97"/>
      <c r="J161" s="1116"/>
      <c r="K161" s="1116"/>
      <c r="L161" s="97"/>
      <c r="M161" s="97"/>
    </row>
    <row r="162" spans="1:14">
      <c r="B162" s="6"/>
      <c r="C162" s="103"/>
      <c r="D162" s="98"/>
      <c r="E162" s="95"/>
      <c r="F162" s="95"/>
      <c r="J162" s="97"/>
      <c r="K162" s="97"/>
      <c r="L162" s="97"/>
      <c r="M162" s="97"/>
    </row>
    <row r="163" spans="1:14">
      <c r="B163" s="106" t="s">
        <v>143</v>
      </c>
      <c r="C163" s="107"/>
      <c r="D163" s="3"/>
      <c r="J163" s="1113">
        <f>J148+J159</f>
        <v>3826429.6883340003</v>
      </c>
      <c r="K163" s="1113"/>
      <c r="L163" s="1113">
        <f t="shared" ref="L163" si="7">H163+J163</f>
        <v>3826429.6883340003</v>
      </c>
      <c r="M163" s="1113"/>
    </row>
    <row r="164" spans="1:14">
      <c r="B164" s="108" t="s">
        <v>144</v>
      </c>
      <c r="C164" s="98"/>
      <c r="J164" s="97"/>
      <c r="K164" s="97"/>
      <c r="L164" s="97"/>
      <c r="M164" s="97"/>
    </row>
    <row r="165" spans="1:14">
      <c r="B165" s="9" t="s">
        <v>145</v>
      </c>
      <c r="C165" s="3"/>
      <c r="D165" s="109">
        <v>0.2</v>
      </c>
      <c r="J165" s="1113">
        <f>J163*0.2</f>
        <v>765285.93766680011</v>
      </c>
      <c r="K165" s="1113"/>
      <c r="L165" s="1113">
        <f t="shared" ref="L165" si="8">H165+J165</f>
        <v>765285.93766680011</v>
      </c>
      <c r="M165" s="1113"/>
    </row>
    <row r="168" spans="1:14">
      <c r="B168" s="9" t="s">
        <v>146</v>
      </c>
      <c r="C168" s="3"/>
      <c r="D168" s="3"/>
      <c r="J168" s="1113">
        <f>J163-J165</f>
        <v>3061143.7506672004</v>
      </c>
      <c r="K168" s="1113"/>
      <c r="L168" s="1113">
        <f t="shared" ref="L168" si="9">H168+J168</f>
        <v>3061143.7506672004</v>
      </c>
      <c r="M168" s="1113"/>
      <c r="N168" s="110"/>
    </row>
    <row r="171" spans="1:14">
      <c r="A171" s="111"/>
      <c r="B171" s="1" t="s">
        <v>147</v>
      </c>
      <c r="C171" s="1"/>
      <c r="D171" s="1111" t="s">
        <v>148</v>
      </c>
      <c r="E171" s="1111"/>
      <c r="F171" s="1111"/>
      <c r="I171" s="112" t="s">
        <v>13</v>
      </c>
      <c r="J171" s="112"/>
      <c r="K171" s="112"/>
      <c r="L171" s="1111" t="s">
        <v>149</v>
      </c>
      <c r="M171" s="1111"/>
      <c r="N171" s="1111"/>
    </row>
    <row r="172" spans="1:14">
      <c r="A172" s="113"/>
      <c r="B172" s="1"/>
      <c r="C172" s="1"/>
      <c r="D172" s="1111"/>
      <c r="E172" s="1111"/>
      <c r="F172" s="1111"/>
      <c r="G172" s="1111"/>
      <c r="H172" s="1111"/>
      <c r="I172" s="1111"/>
      <c r="J172" s="1111"/>
      <c r="K172" s="1111"/>
      <c r="L172" s="1111"/>
      <c r="M172" s="1111"/>
    </row>
    <row r="173" spans="1:14">
      <c r="A173" s="111"/>
      <c r="B173" s="1" t="s">
        <v>150</v>
      </c>
      <c r="C173" s="1111" t="s">
        <v>151</v>
      </c>
      <c r="D173" s="1111"/>
      <c r="E173" s="1111"/>
      <c r="F173" s="1111"/>
      <c r="G173" s="1112" t="s">
        <v>152</v>
      </c>
      <c r="H173" s="1112"/>
      <c r="I173" s="1112"/>
      <c r="J173" s="1112"/>
      <c r="K173" s="1112"/>
      <c r="L173" s="114" t="s">
        <v>153</v>
      </c>
      <c r="M173" s="114"/>
      <c r="N173" s="114"/>
    </row>
    <row r="174" spans="1:14">
      <c r="A174" s="111"/>
      <c r="B174" s="1" t="s">
        <v>154</v>
      </c>
      <c r="C174" s="1"/>
      <c r="D174" s="6" t="s">
        <v>155</v>
      </c>
      <c r="E174" s="6"/>
      <c r="F174" s="6"/>
      <c r="G174" s="115"/>
      <c r="H174" s="115"/>
      <c r="I174" s="115"/>
      <c r="J174" s="115"/>
      <c r="K174" s="1111" t="s">
        <v>156</v>
      </c>
      <c r="L174" s="1111"/>
      <c r="M174" s="1111"/>
      <c r="N174" s="1111"/>
    </row>
  </sheetData>
  <mergeCells count="66">
    <mergeCell ref="B138:N138"/>
    <mergeCell ref="A1:M1"/>
    <mergeCell ref="A2:M2"/>
    <mergeCell ref="A9:F9"/>
    <mergeCell ref="G9:J9"/>
    <mergeCell ref="K9:M9"/>
    <mergeCell ref="E152:F152"/>
    <mergeCell ref="H152:I152"/>
    <mergeCell ref="J152:K152"/>
    <mergeCell ref="L152:M152"/>
    <mergeCell ref="B139:N139"/>
    <mergeCell ref="E147:F147"/>
    <mergeCell ref="H147:I147"/>
    <mergeCell ref="J147:K147"/>
    <mergeCell ref="L147:M147"/>
    <mergeCell ref="E148:F148"/>
    <mergeCell ref="H148:I148"/>
    <mergeCell ref="J148:K148"/>
    <mergeCell ref="L148:M148"/>
    <mergeCell ref="E150:F150"/>
    <mergeCell ref="E151:F151"/>
    <mergeCell ref="H151:I151"/>
    <mergeCell ref="J151:K151"/>
    <mergeCell ref="L151:M151"/>
    <mergeCell ref="E153:F153"/>
    <mergeCell ref="H153:I153"/>
    <mergeCell ref="J153:K153"/>
    <mergeCell ref="L153:M153"/>
    <mergeCell ref="E154:F154"/>
    <mergeCell ref="H154:I154"/>
    <mergeCell ref="J154:K154"/>
    <mergeCell ref="L154:M154"/>
    <mergeCell ref="L157:M157"/>
    <mergeCell ref="E158:F158"/>
    <mergeCell ref="L158:M158"/>
    <mergeCell ref="E155:F155"/>
    <mergeCell ref="H155:I156"/>
    <mergeCell ref="J155:K155"/>
    <mergeCell ref="L155:M155"/>
    <mergeCell ref="E156:F156"/>
    <mergeCell ref="J156:K156"/>
    <mergeCell ref="L156:M156"/>
    <mergeCell ref="E161:F161"/>
    <mergeCell ref="J161:K161"/>
    <mergeCell ref="E157:F157"/>
    <mergeCell ref="H157:I157"/>
    <mergeCell ref="J157:K157"/>
    <mergeCell ref="E159:F159"/>
    <mergeCell ref="J159:K159"/>
    <mergeCell ref="L159:M159"/>
    <mergeCell ref="E160:F160"/>
    <mergeCell ref="L160:M160"/>
    <mergeCell ref="J163:K163"/>
    <mergeCell ref="L163:M163"/>
    <mergeCell ref="J165:K165"/>
    <mergeCell ref="L165:M165"/>
    <mergeCell ref="J168:K168"/>
    <mergeCell ref="L168:M168"/>
    <mergeCell ref="K174:N174"/>
    <mergeCell ref="D171:F171"/>
    <mergeCell ref="L171:N171"/>
    <mergeCell ref="D172:F172"/>
    <mergeCell ref="G172:J172"/>
    <mergeCell ref="K172:M172"/>
    <mergeCell ref="C173:F173"/>
    <mergeCell ref="G173:K173"/>
  </mergeCells>
  <pageMargins left="0.70866141732283472" right="0.70866141732283472" top="0.74803149606299213" bottom="0.74803149606299213" header="0.31496062992125984" footer="0.31496062992125984"/>
  <pageSetup paperSize="5" scale="83" orientation="landscape" horizontalDpi="0" verticalDpi="0" r:id="rId1"/>
  <rowBreaks count="1" manualBreakCount="1">
    <brk id="77" max="13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566F4F-6BB1-489C-88D0-ADF107B96ED9}">
  <dimension ref="A1:M151"/>
  <sheetViews>
    <sheetView topLeftCell="A84" workbookViewId="0">
      <selection activeCell="H18" sqref="H18"/>
    </sheetView>
  </sheetViews>
  <sheetFormatPr baseColWidth="10" defaultRowHeight="12.75"/>
  <cols>
    <col min="1" max="1" width="11.42578125" style="848"/>
    <col min="2" max="2" width="42.42578125" style="848" bestFit="1" customWidth="1"/>
    <col min="3" max="5" width="11.42578125" style="848"/>
    <col min="6" max="6" width="14.85546875" style="848" customWidth="1"/>
    <col min="7" max="7" width="11.42578125" style="848"/>
    <col min="8" max="8" width="15.5703125" style="848" customWidth="1"/>
    <col min="9" max="9" width="11.85546875" style="848" bestFit="1" customWidth="1"/>
    <col min="10" max="10" width="11.42578125" style="848"/>
    <col min="11" max="11" width="16.28515625" style="848" customWidth="1"/>
    <col min="12" max="12" width="14.140625" style="848" customWidth="1"/>
    <col min="13" max="13" width="15.28515625" style="848" customWidth="1"/>
    <col min="14" max="257" width="11.42578125" style="848"/>
    <col min="258" max="258" width="42.42578125" style="848" bestFit="1" customWidth="1"/>
    <col min="259" max="261" width="11.42578125" style="848"/>
    <col min="262" max="262" width="14.85546875" style="848" customWidth="1"/>
    <col min="263" max="263" width="11.42578125" style="848"/>
    <col min="264" max="264" width="15.5703125" style="848" customWidth="1"/>
    <col min="265" max="265" width="11.85546875" style="848" bestFit="1" customWidth="1"/>
    <col min="266" max="266" width="11.42578125" style="848"/>
    <col min="267" max="267" width="16.28515625" style="848" customWidth="1"/>
    <col min="268" max="268" width="14.140625" style="848" customWidth="1"/>
    <col min="269" max="269" width="15.28515625" style="848" customWidth="1"/>
    <col min="270" max="513" width="11.42578125" style="848"/>
    <col min="514" max="514" width="42.42578125" style="848" bestFit="1" customWidth="1"/>
    <col min="515" max="517" width="11.42578125" style="848"/>
    <col min="518" max="518" width="14.85546875" style="848" customWidth="1"/>
    <col min="519" max="519" width="11.42578125" style="848"/>
    <col min="520" max="520" width="15.5703125" style="848" customWidth="1"/>
    <col min="521" max="521" width="11.85546875" style="848" bestFit="1" customWidth="1"/>
    <col min="522" max="522" width="11.42578125" style="848"/>
    <col min="523" max="523" width="16.28515625" style="848" customWidth="1"/>
    <col min="524" max="524" width="14.140625" style="848" customWidth="1"/>
    <col min="525" max="525" width="15.28515625" style="848" customWidth="1"/>
    <col min="526" max="769" width="11.42578125" style="848"/>
    <col min="770" max="770" width="42.42578125" style="848" bestFit="1" customWidth="1"/>
    <col min="771" max="773" width="11.42578125" style="848"/>
    <col min="774" max="774" width="14.85546875" style="848" customWidth="1"/>
    <col min="775" max="775" width="11.42578125" style="848"/>
    <col min="776" max="776" width="15.5703125" style="848" customWidth="1"/>
    <col min="777" max="777" width="11.85546875" style="848" bestFit="1" customWidth="1"/>
    <col min="778" max="778" width="11.42578125" style="848"/>
    <col min="779" max="779" width="16.28515625" style="848" customWidth="1"/>
    <col min="780" max="780" width="14.140625" style="848" customWidth="1"/>
    <col min="781" max="781" width="15.28515625" style="848" customWidth="1"/>
    <col min="782" max="1025" width="11.42578125" style="848"/>
    <col min="1026" max="1026" width="42.42578125" style="848" bestFit="1" customWidth="1"/>
    <col min="1027" max="1029" width="11.42578125" style="848"/>
    <col min="1030" max="1030" width="14.85546875" style="848" customWidth="1"/>
    <col min="1031" max="1031" width="11.42578125" style="848"/>
    <col min="1032" max="1032" width="15.5703125" style="848" customWidth="1"/>
    <col min="1033" max="1033" width="11.85546875" style="848" bestFit="1" customWidth="1"/>
    <col min="1034" max="1034" width="11.42578125" style="848"/>
    <col min="1035" max="1035" width="16.28515625" style="848" customWidth="1"/>
    <col min="1036" max="1036" width="14.140625" style="848" customWidth="1"/>
    <col min="1037" max="1037" width="15.28515625" style="848" customWidth="1"/>
    <col min="1038" max="1281" width="11.42578125" style="848"/>
    <col min="1282" max="1282" width="42.42578125" style="848" bestFit="1" customWidth="1"/>
    <col min="1283" max="1285" width="11.42578125" style="848"/>
    <col min="1286" max="1286" width="14.85546875" style="848" customWidth="1"/>
    <col min="1287" max="1287" width="11.42578125" style="848"/>
    <col min="1288" max="1288" width="15.5703125" style="848" customWidth="1"/>
    <col min="1289" max="1289" width="11.85546875" style="848" bestFit="1" customWidth="1"/>
    <col min="1290" max="1290" width="11.42578125" style="848"/>
    <col min="1291" max="1291" width="16.28515625" style="848" customWidth="1"/>
    <col min="1292" max="1292" width="14.140625" style="848" customWidth="1"/>
    <col min="1293" max="1293" width="15.28515625" style="848" customWidth="1"/>
    <col min="1294" max="1537" width="11.42578125" style="848"/>
    <col min="1538" max="1538" width="42.42578125" style="848" bestFit="1" customWidth="1"/>
    <col min="1539" max="1541" width="11.42578125" style="848"/>
    <col min="1542" max="1542" width="14.85546875" style="848" customWidth="1"/>
    <col min="1543" max="1543" width="11.42578125" style="848"/>
    <col min="1544" max="1544" width="15.5703125" style="848" customWidth="1"/>
    <col min="1545" max="1545" width="11.85546875" style="848" bestFit="1" customWidth="1"/>
    <col min="1546" max="1546" width="11.42578125" style="848"/>
    <col min="1547" max="1547" width="16.28515625" style="848" customWidth="1"/>
    <col min="1548" max="1548" width="14.140625" style="848" customWidth="1"/>
    <col min="1549" max="1549" width="15.28515625" style="848" customWidth="1"/>
    <col min="1550" max="1793" width="11.42578125" style="848"/>
    <col min="1794" max="1794" width="42.42578125" style="848" bestFit="1" customWidth="1"/>
    <col min="1795" max="1797" width="11.42578125" style="848"/>
    <col min="1798" max="1798" width="14.85546875" style="848" customWidth="1"/>
    <col min="1799" max="1799" width="11.42578125" style="848"/>
    <col min="1800" max="1800" width="15.5703125" style="848" customWidth="1"/>
    <col min="1801" max="1801" width="11.85546875" style="848" bestFit="1" customWidth="1"/>
    <col min="1802" max="1802" width="11.42578125" style="848"/>
    <col min="1803" max="1803" width="16.28515625" style="848" customWidth="1"/>
    <col min="1804" max="1804" width="14.140625" style="848" customWidth="1"/>
    <col min="1805" max="1805" width="15.28515625" style="848" customWidth="1"/>
    <col min="1806" max="2049" width="11.42578125" style="848"/>
    <col min="2050" max="2050" width="42.42578125" style="848" bestFit="1" customWidth="1"/>
    <col min="2051" max="2053" width="11.42578125" style="848"/>
    <col min="2054" max="2054" width="14.85546875" style="848" customWidth="1"/>
    <col min="2055" max="2055" width="11.42578125" style="848"/>
    <col min="2056" max="2056" width="15.5703125" style="848" customWidth="1"/>
    <col min="2057" max="2057" width="11.85546875" style="848" bestFit="1" customWidth="1"/>
    <col min="2058" max="2058" width="11.42578125" style="848"/>
    <col min="2059" max="2059" width="16.28515625" style="848" customWidth="1"/>
    <col min="2060" max="2060" width="14.140625" style="848" customWidth="1"/>
    <col min="2061" max="2061" width="15.28515625" style="848" customWidth="1"/>
    <col min="2062" max="2305" width="11.42578125" style="848"/>
    <col min="2306" max="2306" width="42.42578125" style="848" bestFit="1" customWidth="1"/>
    <col min="2307" max="2309" width="11.42578125" style="848"/>
    <col min="2310" max="2310" width="14.85546875" style="848" customWidth="1"/>
    <col min="2311" max="2311" width="11.42578125" style="848"/>
    <col min="2312" max="2312" width="15.5703125" style="848" customWidth="1"/>
    <col min="2313" max="2313" width="11.85546875" style="848" bestFit="1" customWidth="1"/>
    <col min="2314" max="2314" width="11.42578125" style="848"/>
    <col min="2315" max="2315" width="16.28515625" style="848" customWidth="1"/>
    <col min="2316" max="2316" width="14.140625" style="848" customWidth="1"/>
    <col min="2317" max="2317" width="15.28515625" style="848" customWidth="1"/>
    <col min="2318" max="2561" width="11.42578125" style="848"/>
    <col min="2562" max="2562" width="42.42578125" style="848" bestFit="1" customWidth="1"/>
    <col min="2563" max="2565" width="11.42578125" style="848"/>
    <col min="2566" max="2566" width="14.85546875" style="848" customWidth="1"/>
    <col min="2567" max="2567" width="11.42578125" style="848"/>
    <col min="2568" max="2568" width="15.5703125" style="848" customWidth="1"/>
    <col min="2569" max="2569" width="11.85546875" style="848" bestFit="1" customWidth="1"/>
    <col min="2570" max="2570" width="11.42578125" style="848"/>
    <col min="2571" max="2571" width="16.28515625" style="848" customWidth="1"/>
    <col min="2572" max="2572" width="14.140625" style="848" customWidth="1"/>
    <col min="2573" max="2573" width="15.28515625" style="848" customWidth="1"/>
    <col min="2574" max="2817" width="11.42578125" style="848"/>
    <col min="2818" max="2818" width="42.42578125" style="848" bestFit="1" customWidth="1"/>
    <col min="2819" max="2821" width="11.42578125" style="848"/>
    <col min="2822" max="2822" width="14.85546875" style="848" customWidth="1"/>
    <col min="2823" max="2823" width="11.42578125" style="848"/>
    <col min="2824" max="2824" width="15.5703125" style="848" customWidth="1"/>
    <col min="2825" max="2825" width="11.85546875" style="848" bestFit="1" customWidth="1"/>
    <col min="2826" max="2826" width="11.42578125" style="848"/>
    <col min="2827" max="2827" width="16.28515625" style="848" customWidth="1"/>
    <col min="2828" max="2828" width="14.140625" style="848" customWidth="1"/>
    <col min="2829" max="2829" width="15.28515625" style="848" customWidth="1"/>
    <col min="2830" max="3073" width="11.42578125" style="848"/>
    <col min="3074" max="3074" width="42.42578125" style="848" bestFit="1" customWidth="1"/>
    <col min="3075" max="3077" width="11.42578125" style="848"/>
    <col min="3078" max="3078" width="14.85546875" style="848" customWidth="1"/>
    <col min="3079" max="3079" width="11.42578125" style="848"/>
    <col min="3080" max="3080" width="15.5703125" style="848" customWidth="1"/>
    <col min="3081" max="3081" width="11.85546875" style="848" bestFit="1" customWidth="1"/>
    <col min="3082" max="3082" width="11.42578125" style="848"/>
    <col min="3083" max="3083" width="16.28515625" style="848" customWidth="1"/>
    <col min="3084" max="3084" width="14.140625" style="848" customWidth="1"/>
    <col min="3085" max="3085" width="15.28515625" style="848" customWidth="1"/>
    <col min="3086" max="3329" width="11.42578125" style="848"/>
    <col min="3330" max="3330" width="42.42578125" style="848" bestFit="1" customWidth="1"/>
    <col min="3331" max="3333" width="11.42578125" style="848"/>
    <col min="3334" max="3334" width="14.85546875" style="848" customWidth="1"/>
    <col min="3335" max="3335" width="11.42578125" style="848"/>
    <col min="3336" max="3336" width="15.5703125" style="848" customWidth="1"/>
    <col min="3337" max="3337" width="11.85546875" style="848" bestFit="1" customWidth="1"/>
    <col min="3338" max="3338" width="11.42578125" style="848"/>
    <col min="3339" max="3339" width="16.28515625" style="848" customWidth="1"/>
    <col min="3340" max="3340" width="14.140625" style="848" customWidth="1"/>
    <col min="3341" max="3341" width="15.28515625" style="848" customWidth="1"/>
    <col min="3342" max="3585" width="11.42578125" style="848"/>
    <col min="3586" max="3586" width="42.42578125" style="848" bestFit="1" customWidth="1"/>
    <col min="3587" max="3589" width="11.42578125" style="848"/>
    <col min="3590" max="3590" width="14.85546875" style="848" customWidth="1"/>
    <col min="3591" max="3591" width="11.42578125" style="848"/>
    <col min="3592" max="3592" width="15.5703125" style="848" customWidth="1"/>
    <col min="3593" max="3593" width="11.85546875" style="848" bestFit="1" customWidth="1"/>
    <col min="3594" max="3594" width="11.42578125" style="848"/>
    <col min="3595" max="3595" width="16.28515625" style="848" customWidth="1"/>
    <col min="3596" max="3596" width="14.140625" style="848" customWidth="1"/>
    <col min="3597" max="3597" width="15.28515625" style="848" customWidth="1"/>
    <col min="3598" max="3841" width="11.42578125" style="848"/>
    <col min="3842" max="3842" width="42.42578125" style="848" bestFit="1" customWidth="1"/>
    <col min="3843" max="3845" width="11.42578125" style="848"/>
    <col min="3846" max="3846" width="14.85546875" style="848" customWidth="1"/>
    <col min="3847" max="3847" width="11.42578125" style="848"/>
    <col min="3848" max="3848" width="15.5703125" style="848" customWidth="1"/>
    <col min="3849" max="3849" width="11.85546875" style="848" bestFit="1" customWidth="1"/>
    <col min="3850" max="3850" width="11.42578125" style="848"/>
    <col min="3851" max="3851" width="16.28515625" style="848" customWidth="1"/>
    <col min="3852" max="3852" width="14.140625" style="848" customWidth="1"/>
    <col min="3853" max="3853" width="15.28515625" style="848" customWidth="1"/>
    <col min="3854" max="4097" width="11.42578125" style="848"/>
    <col min="4098" max="4098" width="42.42578125" style="848" bestFit="1" customWidth="1"/>
    <col min="4099" max="4101" width="11.42578125" style="848"/>
    <col min="4102" max="4102" width="14.85546875" style="848" customWidth="1"/>
    <col min="4103" max="4103" width="11.42578125" style="848"/>
    <col min="4104" max="4104" width="15.5703125" style="848" customWidth="1"/>
    <col min="4105" max="4105" width="11.85546875" style="848" bestFit="1" customWidth="1"/>
    <col min="4106" max="4106" width="11.42578125" style="848"/>
    <col min="4107" max="4107" width="16.28515625" style="848" customWidth="1"/>
    <col min="4108" max="4108" width="14.140625" style="848" customWidth="1"/>
    <col min="4109" max="4109" width="15.28515625" style="848" customWidth="1"/>
    <col min="4110" max="4353" width="11.42578125" style="848"/>
    <col min="4354" max="4354" width="42.42578125" style="848" bestFit="1" customWidth="1"/>
    <col min="4355" max="4357" width="11.42578125" style="848"/>
    <col min="4358" max="4358" width="14.85546875" style="848" customWidth="1"/>
    <col min="4359" max="4359" width="11.42578125" style="848"/>
    <col min="4360" max="4360" width="15.5703125" style="848" customWidth="1"/>
    <col min="4361" max="4361" width="11.85546875" style="848" bestFit="1" customWidth="1"/>
    <col min="4362" max="4362" width="11.42578125" style="848"/>
    <col min="4363" max="4363" width="16.28515625" style="848" customWidth="1"/>
    <col min="4364" max="4364" width="14.140625" style="848" customWidth="1"/>
    <col min="4365" max="4365" width="15.28515625" style="848" customWidth="1"/>
    <col min="4366" max="4609" width="11.42578125" style="848"/>
    <col min="4610" max="4610" width="42.42578125" style="848" bestFit="1" customWidth="1"/>
    <col min="4611" max="4613" width="11.42578125" style="848"/>
    <col min="4614" max="4614" width="14.85546875" style="848" customWidth="1"/>
    <col min="4615" max="4615" width="11.42578125" style="848"/>
    <col min="4616" max="4616" width="15.5703125" style="848" customWidth="1"/>
    <col min="4617" max="4617" width="11.85546875" style="848" bestFit="1" customWidth="1"/>
    <col min="4618" max="4618" width="11.42578125" style="848"/>
    <col min="4619" max="4619" width="16.28515625" style="848" customWidth="1"/>
    <col min="4620" max="4620" width="14.140625" style="848" customWidth="1"/>
    <col min="4621" max="4621" width="15.28515625" style="848" customWidth="1"/>
    <col min="4622" max="4865" width="11.42578125" style="848"/>
    <col min="4866" max="4866" width="42.42578125" style="848" bestFit="1" customWidth="1"/>
    <col min="4867" max="4869" width="11.42578125" style="848"/>
    <col min="4870" max="4870" width="14.85546875" style="848" customWidth="1"/>
    <col min="4871" max="4871" width="11.42578125" style="848"/>
    <col min="4872" max="4872" width="15.5703125" style="848" customWidth="1"/>
    <col min="4873" max="4873" width="11.85546875" style="848" bestFit="1" customWidth="1"/>
    <col min="4874" max="4874" width="11.42578125" style="848"/>
    <col min="4875" max="4875" width="16.28515625" style="848" customWidth="1"/>
    <col min="4876" max="4876" width="14.140625" style="848" customWidth="1"/>
    <col min="4877" max="4877" width="15.28515625" style="848" customWidth="1"/>
    <col min="4878" max="5121" width="11.42578125" style="848"/>
    <col min="5122" max="5122" width="42.42578125" style="848" bestFit="1" customWidth="1"/>
    <col min="5123" max="5125" width="11.42578125" style="848"/>
    <col min="5126" max="5126" width="14.85546875" style="848" customWidth="1"/>
    <col min="5127" max="5127" width="11.42578125" style="848"/>
    <col min="5128" max="5128" width="15.5703125" style="848" customWidth="1"/>
    <col min="5129" max="5129" width="11.85546875" style="848" bestFit="1" customWidth="1"/>
    <col min="5130" max="5130" width="11.42578125" style="848"/>
    <col min="5131" max="5131" width="16.28515625" style="848" customWidth="1"/>
    <col min="5132" max="5132" width="14.140625" style="848" customWidth="1"/>
    <col min="5133" max="5133" width="15.28515625" style="848" customWidth="1"/>
    <col min="5134" max="5377" width="11.42578125" style="848"/>
    <col min="5378" max="5378" width="42.42578125" style="848" bestFit="1" customWidth="1"/>
    <col min="5379" max="5381" width="11.42578125" style="848"/>
    <col min="5382" max="5382" width="14.85546875" style="848" customWidth="1"/>
    <col min="5383" max="5383" width="11.42578125" style="848"/>
    <col min="5384" max="5384" width="15.5703125" style="848" customWidth="1"/>
    <col min="5385" max="5385" width="11.85546875" style="848" bestFit="1" customWidth="1"/>
    <col min="5386" max="5386" width="11.42578125" style="848"/>
    <col min="5387" max="5387" width="16.28515625" style="848" customWidth="1"/>
    <col min="5388" max="5388" width="14.140625" style="848" customWidth="1"/>
    <col min="5389" max="5389" width="15.28515625" style="848" customWidth="1"/>
    <col min="5390" max="5633" width="11.42578125" style="848"/>
    <col min="5634" max="5634" width="42.42578125" style="848" bestFit="1" customWidth="1"/>
    <col min="5635" max="5637" width="11.42578125" style="848"/>
    <col min="5638" max="5638" width="14.85546875" style="848" customWidth="1"/>
    <col min="5639" max="5639" width="11.42578125" style="848"/>
    <col min="5640" max="5640" width="15.5703125" style="848" customWidth="1"/>
    <col min="5641" max="5641" width="11.85546875" style="848" bestFit="1" customWidth="1"/>
    <col min="5642" max="5642" width="11.42578125" style="848"/>
    <col min="5643" max="5643" width="16.28515625" style="848" customWidth="1"/>
    <col min="5644" max="5644" width="14.140625" style="848" customWidth="1"/>
    <col min="5645" max="5645" width="15.28515625" style="848" customWidth="1"/>
    <col min="5646" max="5889" width="11.42578125" style="848"/>
    <col min="5890" max="5890" width="42.42578125" style="848" bestFit="1" customWidth="1"/>
    <col min="5891" max="5893" width="11.42578125" style="848"/>
    <col min="5894" max="5894" width="14.85546875" style="848" customWidth="1"/>
    <col min="5895" max="5895" width="11.42578125" style="848"/>
    <col min="5896" max="5896" width="15.5703125" style="848" customWidth="1"/>
    <col min="5897" max="5897" width="11.85546875" style="848" bestFit="1" customWidth="1"/>
    <col min="5898" max="5898" width="11.42578125" style="848"/>
    <col min="5899" max="5899" width="16.28515625" style="848" customWidth="1"/>
    <col min="5900" max="5900" width="14.140625" style="848" customWidth="1"/>
    <col min="5901" max="5901" width="15.28515625" style="848" customWidth="1"/>
    <col min="5902" max="6145" width="11.42578125" style="848"/>
    <col min="6146" max="6146" width="42.42578125" style="848" bestFit="1" customWidth="1"/>
    <col min="6147" max="6149" width="11.42578125" style="848"/>
    <col min="6150" max="6150" width="14.85546875" style="848" customWidth="1"/>
    <col min="6151" max="6151" width="11.42578125" style="848"/>
    <col min="6152" max="6152" width="15.5703125" style="848" customWidth="1"/>
    <col min="6153" max="6153" width="11.85546875" style="848" bestFit="1" customWidth="1"/>
    <col min="6154" max="6154" width="11.42578125" style="848"/>
    <col min="6155" max="6155" width="16.28515625" style="848" customWidth="1"/>
    <col min="6156" max="6156" width="14.140625" style="848" customWidth="1"/>
    <col min="6157" max="6157" width="15.28515625" style="848" customWidth="1"/>
    <col min="6158" max="6401" width="11.42578125" style="848"/>
    <col min="6402" max="6402" width="42.42578125" style="848" bestFit="1" customWidth="1"/>
    <col min="6403" max="6405" width="11.42578125" style="848"/>
    <col min="6406" max="6406" width="14.85546875" style="848" customWidth="1"/>
    <col min="6407" max="6407" width="11.42578125" style="848"/>
    <col min="6408" max="6408" width="15.5703125" style="848" customWidth="1"/>
    <col min="6409" max="6409" width="11.85546875" style="848" bestFit="1" customWidth="1"/>
    <col min="6410" max="6410" width="11.42578125" style="848"/>
    <col min="6411" max="6411" width="16.28515625" style="848" customWidth="1"/>
    <col min="6412" max="6412" width="14.140625" style="848" customWidth="1"/>
    <col min="6413" max="6413" width="15.28515625" style="848" customWidth="1"/>
    <col min="6414" max="6657" width="11.42578125" style="848"/>
    <col min="6658" max="6658" width="42.42578125" style="848" bestFit="1" customWidth="1"/>
    <col min="6659" max="6661" width="11.42578125" style="848"/>
    <col min="6662" max="6662" width="14.85546875" style="848" customWidth="1"/>
    <col min="6663" max="6663" width="11.42578125" style="848"/>
    <col min="6664" max="6664" width="15.5703125" style="848" customWidth="1"/>
    <col min="6665" max="6665" width="11.85546875" style="848" bestFit="1" customWidth="1"/>
    <col min="6666" max="6666" width="11.42578125" style="848"/>
    <col min="6667" max="6667" width="16.28515625" style="848" customWidth="1"/>
    <col min="6668" max="6668" width="14.140625" style="848" customWidth="1"/>
    <col min="6669" max="6669" width="15.28515625" style="848" customWidth="1"/>
    <col min="6670" max="6913" width="11.42578125" style="848"/>
    <col min="6914" max="6914" width="42.42578125" style="848" bestFit="1" customWidth="1"/>
    <col min="6915" max="6917" width="11.42578125" style="848"/>
    <col min="6918" max="6918" width="14.85546875" style="848" customWidth="1"/>
    <col min="6919" max="6919" width="11.42578125" style="848"/>
    <col min="6920" max="6920" width="15.5703125" style="848" customWidth="1"/>
    <col min="6921" max="6921" width="11.85546875" style="848" bestFit="1" customWidth="1"/>
    <col min="6922" max="6922" width="11.42578125" style="848"/>
    <col min="6923" max="6923" width="16.28515625" style="848" customWidth="1"/>
    <col min="6924" max="6924" width="14.140625" style="848" customWidth="1"/>
    <col min="6925" max="6925" width="15.28515625" style="848" customWidth="1"/>
    <col min="6926" max="7169" width="11.42578125" style="848"/>
    <col min="7170" max="7170" width="42.42578125" style="848" bestFit="1" customWidth="1"/>
    <col min="7171" max="7173" width="11.42578125" style="848"/>
    <col min="7174" max="7174" width="14.85546875" style="848" customWidth="1"/>
    <col min="7175" max="7175" width="11.42578125" style="848"/>
    <col min="7176" max="7176" width="15.5703125" style="848" customWidth="1"/>
    <col min="7177" max="7177" width="11.85546875" style="848" bestFit="1" customWidth="1"/>
    <col min="7178" max="7178" width="11.42578125" style="848"/>
    <col min="7179" max="7179" width="16.28515625" style="848" customWidth="1"/>
    <col min="7180" max="7180" width="14.140625" style="848" customWidth="1"/>
    <col min="7181" max="7181" width="15.28515625" style="848" customWidth="1"/>
    <col min="7182" max="7425" width="11.42578125" style="848"/>
    <col min="7426" max="7426" width="42.42578125" style="848" bestFit="1" customWidth="1"/>
    <col min="7427" max="7429" width="11.42578125" style="848"/>
    <col min="7430" max="7430" width="14.85546875" style="848" customWidth="1"/>
    <col min="7431" max="7431" width="11.42578125" style="848"/>
    <col min="7432" max="7432" width="15.5703125" style="848" customWidth="1"/>
    <col min="7433" max="7433" width="11.85546875" style="848" bestFit="1" customWidth="1"/>
    <col min="7434" max="7434" width="11.42578125" style="848"/>
    <col min="7435" max="7435" width="16.28515625" style="848" customWidth="1"/>
    <col min="7436" max="7436" width="14.140625" style="848" customWidth="1"/>
    <col min="7437" max="7437" width="15.28515625" style="848" customWidth="1"/>
    <col min="7438" max="7681" width="11.42578125" style="848"/>
    <col min="7682" max="7682" width="42.42578125" style="848" bestFit="1" customWidth="1"/>
    <col min="7683" max="7685" width="11.42578125" style="848"/>
    <col min="7686" max="7686" width="14.85546875" style="848" customWidth="1"/>
    <col min="7687" max="7687" width="11.42578125" style="848"/>
    <col min="7688" max="7688" width="15.5703125" style="848" customWidth="1"/>
    <col min="7689" max="7689" width="11.85546875" style="848" bestFit="1" customWidth="1"/>
    <col min="7690" max="7690" width="11.42578125" style="848"/>
    <col min="7691" max="7691" width="16.28515625" style="848" customWidth="1"/>
    <col min="7692" max="7692" width="14.140625" style="848" customWidth="1"/>
    <col min="7693" max="7693" width="15.28515625" style="848" customWidth="1"/>
    <col min="7694" max="7937" width="11.42578125" style="848"/>
    <col min="7938" max="7938" width="42.42578125" style="848" bestFit="1" customWidth="1"/>
    <col min="7939" max="7941" width="11.42578125" style="848"/>
    <col min="7942" max="7942" width="14.85546875" style="848" customWidth="1"/>
    <col min="7943" max="7943" width="11.42578125" style="848"/>
    <col min="7944" max="7944" width="15.5703125" style="848" customWidth="1"/>
    <col min="7945" max="7945" width="11.85546875" style="848" bestFit="1" customWidth="1"/>
    <col min="7946" max="7946" width="11.42578125" style="848"/>
    <col min="7947" max="7947" width="16.28515625" style="848" customWidth="1"/>
    <col min="7948" max="7948" width="14.140625" style="848" customWidth="1"/>
    <col min="7949" max="7949" width="15.28515625" style="848" customWidth="1"/>
    <col min="7950" max="8193" width="11.42578125" style="848"/>
    <col min="8194" max="8194" width="42.42578125" style="848" bestFit="1" customWidth="1"/>
    <col min="8195" max="8197" width="11.42578125" style="848"/>
    <col min="8198" max="8198" width="14.85546875" style="848" customWidth="1"/>
    <col min="8199" max="8199" width="11.42578125" style="848"/>
    <col min="8200" max="8200" width="15.5703125" style="848" customWidth="1"/>
    <col min="8201" max="8201" width="11.85546875" style="848" bestFit="1" customWidth="1"/>
    <col min="8202" max="8202" width="11.42578125" style="848"/>
    <col min="8203" max="8203" width="16.28515625" style="848" customWidth="1"/>
    <col min="8204" max="8204" width="14.140625" style="848" customWidth="1"/>
    <col min="8205" max="8205" width="15.28515625" style="848" customWidth="1"/>
    <col min="8206" max="8449" width="11.42578125" style="848"/>
    <col min="8450" max="8450" width="42.42578125" style="848" bestFit="1" customWidth="1"/>
    <col min="8451" max="8453" width="11.42578125" style="848"/>
    <col min="8454" max="8454" width="14.85546875" style="848" customWidth="1"/>
    <col min="8455" max="8455" width="11.42578125" style="848"/>
    <col min="8456" max="8456" width="15.5703125" style="848" customWidth="1"/>
    <col min="8457" max="8457" width="11.85546875" style="848" bestFit="1" customWidth="1"/>
    <col min="8458" max="8458" width="11.42578125" style="848"/>
    <col min="8459" max="8459" width="16.28515625" style="848" customWidth="1"/>
    <col min="8460" max="8460" width="14.140625" style="848" customWidth="1"/>
    <col min="8461" max="8461" width="15.28515625" style="848" customWidth="1"/>
    <col min="8462" max="8705" width="11.42578125" style="848"/>
    <col min="8706" max="8706" width="42.42578125" style="848" bestFit="1" customWidth="1"/>
    <col min="8707" max="8709" width="11.42578125" style="848"/>
    <col min="8710" max="8710" width="14.85546875" style="848" customWidth="1"/>
    <col min="8711" max="8711" width="11.42578125" style="848"/>
    <col min="8712" max="8712" width="15.5703125" style="848" customWidth="1"/>
    <col min="8713" max="8713" width="11.85546875" style="848" bestFit="1" customWidth="1"/>
    <col min="8714" max="8714" width="11.42578125" style="848"/>
    <col min="8715" max="8715" width="16.28515625" style="848" customWidth="1"/>
    <col min="8716" max="8716" width="14.140625" style="848" customWidth="1"/>
    <col min="8717" max="8717" width="15.28515625" style="848" customWidth="1"/>
    <col min="8718" max="8961" width="11.42578125" style="848"/>
    <col min="8962" max="8962" width="42.42578125" style="848" bestFit="1" customWidth="1"/>
    <col min="8963" max="8965" width="11.42578125" style="848"/>
    <col min="8966" max="8966" width="14.85546875" style="848" customWidth="1"/>
    <col min="8967" max="8967" width="11.42578125" style="848"/>
    <col min="8968" max="8968" width="15.5703125" style="848" customWidth="1"/>
    <col min="8969" max="8969" width="11.85546875" style="848" bestFit="1" customWidth="1"/>
    <col min="8970" max="8970" width="11.42578125" style="848"/>
    <col min="8971" max="8971" width="16.28515625" style="848" customWidth="1"/>
    <col min="8972" max="8972" width="14.140625" style="848" customWidth="1"/>
    <col min="8973" max="8973" width="15.28515625" style="848" customWidth="1"/>
    <col min="8974" max="9217" width="11.42578125" style="848"/>
    <col min="9218" max="9218" width="42.42578125" style="848" bestFit="1" customWidth="1"/>
    <col min="9219" max="9221" width="11.42578125" style="848"/>
    <col min="9222" max="9222" width="14.85546875" style="848" customWidth="1"/>
    <col min="9223" max="9223" width="11.42578125" style="848"/>
    <col min="9224" max="9224" width="15.5703125" style="848" customWidth="1"/>
    <col min="9225" max="9225" width="11.85546875" style="848" bestFit="1" customWidth="1"/>
    <col min="9226" max="9226" width="11.42578125" style="848"/>
    <col min="9227" max="9227" width="16.28515625" style="848" customWidth="1"/>
    <col min="9228" max="9228" width="14.140625" style="848" customWidth="1"/>
    <col min="9229" max="9229" width="15.28515625" style="848" customWidth="1"/>
    <col min="9230" max="9473" width="11.42578125" style="848"/>
    <col min="9474" max="9474" width="42.42578125" style="848" bestFit="1" customWidth="1"/>
    <col min="9475" max="9477" width="11.42578125" style="848"/>
    <col min="9478" max="9478" width="14.85546875" style="848" customWidth="1"/>
    <col min="9479" max="9479" width="11.42578125" style="848"/>
    <col min="9480" max="9480" width="15.5703125" style="848" customWidth="1"/>
    <col min="9481" max="9481" width="11.85546875" style="848" bestFit="1" customWidth="1"/>
    <col min="9482" max="9482" width="11.42578125" style="848"/>
    <col min="9483" max="9483" width="16.28515625" style="848" customWidth="1"/>
    <col min="9484" max="9484" width="14.140625" style="848" customWidth="1"/>
    <col min="9485" max="9485" width="15.28515625" style="848" customWidth="1"/>
    <col min="9486" max="9729" width="11.42578125" style="848"/>
    <col min="9730" max="9730" width="42.42578125" style="848" bestFit="1" customWidth="1"/>
    <col min="9731" max="9733" width="11.42578125" style="848"/>
    <col min="9734" max="9734" width="14.85546875" style="848" customWidth="1"/>
    <col min="9735" max="9735" width="11.42578125" style="848"/>
    <col min="9736" max="9736" width="15.5703125" style="848" customWidth="1"/>
    <col min="9737" max="9737" width="11.85546875" style="848" bestFit="1" customWidth="1"/>
    <col min="9738" max="9738" width="11.42578125" style="848"/>
    <col min="9739" max="9739" width="16.28515625" style="848" customWidth="1"/>
    <col min="9740" max="9740" width="14.140625" style="848" customWidth="1"/>
    <col min="9741" max="9741" width="15.28515625" style="848" customWidth="1"/>
    <col min="9742" max="9985" width="11.42578125" style="848"/>
    <col min="9986" max="9986" width="42.42578125" style="848" bestFit="1" customWidth="1"/>
    <col min="9987" max="9989" width="11.42578125" style="848"/>
    <col min="9990" max="9990" width="14.85546875" style="848" customWidth="1"/>
    <col min="9991" max="9991" width="11.42578125" style="848"/>
    <col min="9992" max="9992" width="15.5703125" style="848" customWidth="1"/>
    <col min="9993" max="9993" width="11.85546875" style="848" bestFit="1" customWidth="1"/>
    <col min="9994" max="9994" width="11.42578125" style="848"/>
    <col min="9995" max="9995" width="16.28515625" style="848" customWidth="1"/>
    <col min="9996" max="9996" width="14.140625" style="848" customWidth="1"/>
    <col min="9997" max="9997" width="15.28515625" style="848" customWidth="1"/>
    <col min="9998" max="10241" width="11.42578125" style="848"/>
    <col min="10242" max="10242" width="42.42578125" style="848" bestFit="1" customWidth="1"/>
    <col min="10243" max="10245" width="11.42578125" style="848"/>
    <col min="10246" max="10246" width="14.85546875" style="848" customWidth="1"/>
    <col min="10247" max="10247" width="11.42578125" style="848"/>
    <col min="10248" max="10248" width="15.5703125" style="848" customWidth="1"/>
    <col min="10249" max="10249" width="11.85546875" style="848" bestFit="1" customWidth="1"/>
    <col min="10250" max="10250" width="11.42578125" style="848"/>
    <col min="10251" max="10251" width="16.28515625" style="848" customWidth="1"/>
    <col min="10252" max="10252" width="14.140625" style="848" customWidth="1"/>
    <col min="10253" max="10253" width="15.28515625" style="848" customWidth="1"/>
    <col min="10254" max="10497" width="11.42578125" style="848"/>
    <col min="10498" max="10498" width="42.42578125" style="848" bestFit="1" customWidth="1"/>
    <col min="10499" max="10501" width="11.42578125" style="848"/>
    <col min="10502" max="10502" width="14.85546875" style="848" customWidth="1"/>
    <col min="10503" max="10503" width="11.42578125" style="848"/>
    <col min="10504" max="10504" width="15.5703125" style="848" customWidth="1"/>
    <col min="10505" max="10505" width="11.85546875" style="848" bestFit="1" customWidth="1"/>
    <col min="10506" max="10506" width="11.42578125" style="848"/>
    <col min="10507" max="10507" width="16.28515625" style="848" customWidth="1"/>
    <col min="10508" max="10508" width="14.140625" style="848" customWidth="1"/>
    <col min="10509" max="10509" width="15.28515625" style="848" customWidth="1"/>
    <col min="10510" max="10753" width="11.42578125" style="848"/>
    <col min="10754" max="10754" width="42.42578125" style="848" bestFit="1" customWidth="1"/>
    <col min="10755" max="10757" width="11.42578125" style="848"/>
    <col min="10758" max="10758" width="14.85546875" style="848" customWidth="1"/>
    <col min="10759" max="10759" width="11.42578125" style="848"/>
    <col min="10760" max="10760" width="15.5703125" style="848" customWidth="1"/>
    <col min="10761" max="10761" width="11.85546875" style="848" bestFit="1" customWidth="1"/>
    <col min="10762" max="10762" width="11.42578125" style="848"/>
    <col min="10763" max="10763" width="16.28515625" style="848" customWidth="1"/>
    <col min="10764" max="10764" width="14.140625" style="848" customWidth="1"/>
    <col min="10765" max="10765" width="15.28515625" style="848" customWidth="1"/>
    <col min="10766" max="11009" width="11.42578125" style="848"/>
    <col min="11010" max="11010" width="42.42578125" style="848" bestFit="1" customWidth="1"/>
    <col min="11011" max="11013" width="11.42578125" style="848"/>
    <col min="11014" max="11014" width="14.85546875" style="848" customWidth="1"/>
    <col min="11015" max="11015" width="11.42578125" style="848"/>
    <col min="11016" max="11016" width="15.5703125" style="848" customWidth="1"/>
    <col min="11017" max="11017" width="11.85546875" style="848" bestFit="1" customWidth="1"/>
    <col min="11018" max="11018" width="11.42578125" style="848"/>
    <col min="11019" max="11019" width="16.28515625" style="848" customWidth="1"/>
    <col min="11020" max="11020" width="14.140625" style="848" customWidth="1"/>
    <col min="11021" max="11021" width="15.28515625" style="848" customWidth="1"/>
    <col min="11022" max="11265" width="11.42578125" style="848"/>
    <col min="11266" max="11266" width="42.42578125" style="848" bestFit="1" customWidth="1"/>
    <col min="11267" max="11269" width="11.42578125" style="848"/>
    <col min="11270" max="11270" width="14.85546875" style="848" customWidth="1"/>
    <col min="11271" max="11271" width="11.42578125" style="848"/>
    <col min="11272" max="11272" width="15.5703125" style="848" customWidth="1"/>
    <col min="11273" max="11273" width="11.85546875" style="848" bestFit="1" customWidth="1"/>
    <col min="11274" max="11274" width="11.42578125" style="848"/>
    <col min="11275" max="11275" width="16.28515625" style="848" customWidth="1"/>
    <col min="11276" max="11276" width="14.140625" style="848" customWidth="1"/>
    <col min="11277" max="11277" width="15.28515625" style="848" customWidth="1"/>
    <col min="11278" max="11521" width="11.42578125" style="848"/>
    <col min="11522" max="11522" width="42.42578125" style="848" bestFit="1" customWidth="1"/>
    <col min="11523" max="11525" width="11.42578125" style="848"/>
    <col min="11526" max="11526" width="14.85546875" style="848" customWidth="1"/>
    <col min="11527" max="11527" width="11.42578125" style="848"/>
    <col min="11528" max="11528" width="15.5703125" style="848" customWidth="1"/>
    <col min="11529" max="11529" width="11.85546875" style="848" bestFit="1" customWidth="1"/>
    <col min="11530" max="11530" width="11.42578125" style="848"/>
    <col min="11531" max="11531" width="16.28515625" style="848" customWidth="1"/>
    <col min="11532" max="11532" width="14.140625" style="848" customWidth="1"/>
    <col min="11533" max="11533" width="15.28515625" style="848" customWidth="1"/>
    <col min="11534" max="11777" width="11.42578125" style="848"/>
    <col min="11778" max="11778" width="42.42578125" style="848" bestFit="1" customWidth="1"/>
    <col min="11779" max="11781" width="11.42578125" style="848"/>
    <col min="11782" max="11782" width="14.85546875" style="848" customWidth="1"/>
    <col min="11783" max="11783" width="11.42578125" style="848"/>
    <col min="11784" max="11784" width="15.5703125" style="848" customWidth="1"/>
    <col min="11785" max="11785" width="11.85546875" style="848" bestFit="1" customWidth="1"/>
    <col min="11786" max="11786" width="11.42578125" style="848"/>
    <col min="11787" max="11787" width="16.28515625" style="848" customWidth="1"/>
    <col min="11788" max="11788" width="14.140625" style="848" customWidth="1"/>
    <col min="11789" max="11789" width="15.28515625" style="848" customWidth="1"/>
    <col min="11790" max="12033" width="11.42578125" style="848"/>
    <col min="12034" max="12034" width="42.42578125" style="848" bestFit="1" customWidth="1"/>
    <col min="12035" max="12037" width="11.42578125" style="848"/>
    <col min="12038" max="12038" width="14.85546875" style="848" customWidth="1"/>
    <col min="12039" max="12039" width="11.42578125" style="848"/>
    <col min="12040" max="12040" width="15.5703125" style="848" customWidth="1"/>
    <col min="12041" max="12041" width="11.85546875" style="848" bestFit="1" customWidth="1"/>
    <col min="12042" max="12042" width="11.42578125" style="848"/>
    <col min="12043" max="12043" width="16.28515625" style="848" customWidth="1"/>
    <col min="12044" max="12044" width="14.140625" style="848" customWidth="1"/>
    <col min="12045" max="12045" width="15.28515625" style="848" customWidth="1"/>
    <col min="12046" max="12289" width="11.42578125" style="848"/>
    <col min="12290" max="12290" width="42.42578125" style="848" bestFit="1" customWidth="1"/>
    <col min="12291" max="12293" width="11.42578125" style="848"/>
    <col min="12294" max="12294" width="14.85546875" style="848" customWidth="1"/>
    <col min="12295" max="12295" width="11.42578125" style="848"/>
    <col min="12296" max="12296" width="15.5703125" style="848" customWidth="1"/>
    <col min="12297" max="12297" width="11.85546875" style="848" bestFit="1" customWidth="1"/>
    <col min="12298" max="12298" width="11.42578125" style="848"/>
    <col min="12299" max="12299" width="16.28515625" style="848" customWidth="1"/>
    <col min="12300" max="12300" width="14.140625" style="848" customWidth="1"/>
    <col min="12301" max="12301" width="15.28515625" style="848" customWidth="1"/>
    <col min="12302" max="12545" width="11.42578125" style="848"/>
    <col min="12546" max="12546" width="42.42578125" style="848" bestFit="1" customWidth="1"/>
    <col min="12547" max="12549" width="11.42578125" style="848"/>
    <col min="12550" max="12550" width="14.85546875" style="848" customWidth="1"/>
    <col min="12551" max="12551" width="11.42578125" style="848"/>
    <col min="12552" max="12552" width="15.5703125" style="848" customWidth="1"/>
    <col min="12553" max="12553" width="11.85546875" style="848" bestFit="1" customWidth="1"/>
    <col min="12554" max="12554" width="11.42578125" style="848"/>
    <col min="12555" max="12555" width="16.28515625" style="848" customWidth="1"/>
    <col min="12556" max="12556" width="14.140625" style="848" customWidth="1"/>
    <col min="12557" max="12557" width="15.28515625" style="848" customWidth="1"/>
    <col min="12558" max="12801" width="11.42578125" style="848"/>
    <col min="12802" max="12802" width="42.42578125" style="848" bestFit="1" customWidth="1"/>
    <col min="12803" max="12805" width="11.42578125" style="848"/>
    <col min="12806" max="12806" width="14.85546875" style="848" customWidth="1"/>
    <col min="12807" max="12807" width="11.42578125" style="848"/>
    <col min="12808" max="12808" width="15.5703125" style="848" customWidth="1"/>
    <col min="12809" max="12809" width="11.85546875" style="848" bestFit="1" customWidth="1"/>
    <col min="12810" max="12810" width="11.42578125" style="848"/>
    <col min="12811" max="12811" width="16.28515625" style="848" customWidth="1"/>
    <col min="12812" max="12812" width="14.140625" style="848" customWidth="1"/>
    <col min="12813" max="12813" width="15.28515625" style="848" customWidth="1"/>
    <col min="12814" max="13057" width="11.42578125" style="848"/>
    <col min="13058" max="13058" width="42.42578125" style="848" bestFit="1" customWidth="1"/>
    <col min="13059" max="13061" width="11.42578125" style="848"/>
    <col min="13062" max="13062" width="14.85546875" style="848" customWidth="1"/>
    <col min="13063" max="13063" width="11.42578125" style="848"/>
    <col min="13064" max="13064" width="15.5703125" style="848" customWidth="1"/>
    <col min="13065" max="13065" width="11.85546875" style="848" bestFit="1" customWidth="1"/>
    <col min="13066" max="13066" width="11.42578125" style="848"/>
    <col min="13067" max="13067" width="16.28515625" style="848" customWidth="1"/>
    <col min="13068" max="13068" width="14.140625" style="848" customWidth="1"/>
    <col min="13069" max="13069" width="15.28515625" style="848" customWidth="1"/>
    <col min="13070" max="13313" width="11.42578125" style="848"/>
    <col min="13314" max="13314" width="42.42578125" style="848" bestFit="1" customWidth="1"/>
    <col min="13315" max="13317" width="11.42578125" style="848"/>
    <col min="13318" max="13318" width="14.85546875" style="848" customWidth="1"/>
    <col min="13319" max="13319" width="11.42578125" style="848"/>
    <col min="13320" max="13320" width="15.5703125" style="848" customWidth="1"/>
    <col min="13321" max="13321" width="11.85546875" style="848" bestFit="1" customWidth="1"/>
    <col min="13322" max="13322" width="11.42578125" style="848"/>
    <col min="13323" max="13323" width="16.28515625" style="848" customWidth="1"/>
    <col min="13324" max="13324" width="14.140625" style="848" customWidth="1"/>
    <col min="13325" max="13325" width="15.28515625" style="848" customWidth="1"/>
    <col min="13326" max="13569" width="11.42578125" style="848"/>
    <col min="13570" max="13570" width="42.42578125" style="848" bestFit="1" customWidth="1"/>
    <col min="13571" max="13573" width="11.42578125" style="848"/>
    <col min="13574" max="13574" width="14.85546875" style="848" customWidth="1"/>
    <col min="13575" max="13575" width="11.42578125" style="848"/>
    <col min="13576" max="13576" width="15.5703125" style="848" customWidth="1"/>
    <col min="13577" max="13577" width="11.85546875" style="848" bestFit="1" customWidth="1"/>
    <col min="13578" max="13578" width="11.42578125" style="848"/>
    <col min="13579" max="13579" width="16.28515625" style="848" customWidth="1"/>
    <col min="13580" max="13580" width="14.140625" style="848" customWidth="1"/>
    <col min="13581" max="13581" width="15.28515625" style="848" customWidth="1"/>
    <col min="13582" max="13825" width="11.42578125" style="848"/>
    <col min="13826" max="13826" width="42.42578125" style="848" bestFit="1" customWidth="1"/>
    <col min="13827" max="13829" width="11.42578125" style="848"/>
    <col min="13830" max="13830" width="14.85546875" style="848" customWidth="1"/>
    <col min="13831" max="13831" width="11.42578125" style="848"/>
    <col min="13832" max="13832" width="15.5703125" style="848" customWidth="1"/>
    <col min="13833" max="13833" width="11.85546875" style="848" bestFit="1" customWidth="1"/>
    <col min="13834" max="13834" width="11.42578125" style="848"/>
    <col min="13835" max="13835" width="16.28515625" style="848" customWidth="1"/>
    <col min="13836" max="13836" width="14.140625" style="848" customWidth="1"/>
    <col min="13837" max="13837" width="15.28515625" style="848" customWidth="1"/>
    <col min="13838" max="14081" width="11.42578125" style="848"/>
    <col min="14082" max="14082" width="42.42578125" style="848" bestFit="1" customWidth="1"/>
    <col min="14083" max="14085" width="11.42578125" style="848"/>
    <col min="14086" max="14086" width="14.85546875" style="848" customWidth="1"/>
    <col min="14087" max="14087" width="11.42578125" style="848"/>
    <col min="14088" max="14088" width="15.5703125" style="848" customWidth="1"/>
    <col min="14089" max="14089" width="11.85546875" style="848" bestFit="1" customWidth="1"/>
    <col min="14090" max="14090" width="11.42578125" style="848"/>
    <col min="14091" max="14091" width="16.28515625" style="848" customWidth="1"/>
    <col min="14092" max="14092" width="14.140625" style="848" customWidth="1"/>
    <col min="14093" max="14093" width="15.28515625" style="848" customWidth="1"/>
    <col min="14094" max="14337" width="11.42578125" style="848"/>
    <col min="14338" max="14338" width="42.42578125" style="848" bestFit="1" customWidth="1"/>
    <col min="14339" max="14341" width="11.42578125" style="848"/>
    <col min="14342" max="14342" width="14.85546875" style="848" customWidth="1"/>
    <col min="14343" max="14343" width="11.42578125" style="848"/>
    <col min="14344" max="14344" width="15.5703125" style="848" customWidth="1"/>
    <col min="14345" max="14345" width="11.85546875" style="848" bestFit="1" customWidth="1"/>
    <col min="14346" max="14346" width="11.42578125" style="848"/>
    <col min="14347" max="14347" width="16.28515625" style="848" customWidth="1"/>
    <col min="14348" max="14348" width="14.140625" style="848" customWidth="1"/>
    <col min="14349" max="14349" width="15.28515625" style="848" customWidth="1"/>
    <col min="14350" max="14593" width="11.42578125" style="848"/>
    <col min="14594" max="14594" width="42.42578125" style="848" bestFit="1" customWidth="1"/>
    <col min="14595" max="14597" width="11.42578125" style="848"/>
    <col min="14598" max="14598" width="14.85546875" style="848" customWidth="1"/>
    <col min="14599" max="14599" width="11.42578125" style="848"/>
    <col min="14600" max="14600" width="15.5703125" style="848" customWidth="1"/>
    <col min="14601" max="14601" width="11.85546875" style="848" bestFit="1" customWidth="1"/>
    <col min="14602" max="14602" width="11.42578125" style="848"/>
    <col min="14603" max="14603" width="16.28515625" style="848" customWidth="1"/>
    <col min="14604" max="14604" width="14.140625" style="848" customWidth="1"/>
    <col min="14605" max="14605" width="15.28515625" style="848" customWidth="1"/>
    <col min="14606" max="14849" width="11.42578125" style="848"/>
    <col min="14850" max="14850" width="42.42578125" style="848" bestFit="1" customWidth="1"/>
    <col min="14851" max="14853" width="11.42578125" style="848"/>
    <col min="14854" max="14854" width="14.85546875" style="848" customWidth="1"/>
    <col min="14855" max="14855" width="11.42578125" style="848"/>
    <col min="14856" max="14856" width="15.5703125" style="848" customWidth="1"/>
    <col min="14857" max="14857" width="11.85546875" style="848" bestFit="1" customWidth="1"/>
    <col min="14858" max="14858" width="11.42578125" style="848"/>
    <col min="14859" max="14859" width="16.28515625" style="848" customWidth="1"/>
    <col min="14860" max="14860" width="14.140625" style="848" customWidth="1"/>
    <col min="14861" max="14861" width="15.28515625" style="848" customWidth="1"/>
    <col min="14862" max="15105" width="11.42578125" style="848"/>
    <col min="15106" max="15106" width="42.42578125" style="848" bestFit="1" customWidth="1"/>
    <col min="15107" max="15109" width="11.42578125" style="848"/>
    <col min="15110" max="15110" width="14.85546875" style="848" customWidth="1"/>
    <col min="15111" max="15111" width="11.42578125" style="848"/>
    <col min="15112" max="15112" width="15.5703125" style="848" customWidth="1"/>
    <col min="15113" max="15113" width="11.85546875" style="848" bestFit="1" customWidth="1"/>
    <col min="15114" max="15114" width="11.42578125" style="848"/>
    <col min="15115" max="15115" width="16.28515625" style="848" customWidth="1"/>
    <col min="15116" max="15116" width="14.140625" style="848" customWidth="1"/>
    <col min="15117" max="15117" width="15.28515625" style="848" customWidth="1"/>
    <col min="15118" max="15361" width="11.42578125" style="848"/>
    <col min="15362" max="15362" width="42.42578125" style="848" bestFit="1" customWidth="1"/>
    <col min="15363" max="15365" width="11.42578125" style="848"/>
    <col min="15366" max="15366" width="14.85546875" style="848" customWidth="1"/>
    <col min="15367" max="15367" width="11.42578125" style="848"/>
    <col min="15368" max="15368" width="15.5703125" style="848" customWidth="1"/>
    <col min="15369" max="15369" width="11.85546875" style="848" bestFit="1" customWidth="1"/>
    <col min="15370" max="15370" width="11.42578125" style="848"/>
    <col min="15371" max="15371" width="16.28515625" style="848" customWidth="1"/>
    <col min="15372" max="15372" width="14.140625" style="848" customWidth="1"/>
    <col min="15373" max="15373" width="15.28515625" style="848" customWidth="1"/>
    <col min="15374" max="15617" width="11.42578125" style="848"/>
    <col min="15618" max="15618" width="42.42578125" style="848" bestFit="1" customWidth="1"/>
    <col min="15619" max="15621" width="11.42578125" style="848"/>
    <col min="15622" max="15622" width="14.85546875" style="848" customWidth="1"/>
    <col min="15623" max="15623" width="11.42578125" style="848"/>
    <col min="15624" max="15624" width="15.5703125" style="848" customWidth="1"/>
    <col min="15625" max="15625" width="11.85546875" style="848" bestFit="1" customWidth="1"/>
    <col min="15626" max="15626" width="11.42578125" style="848"/>
    <col min="15627" max="15627" width="16.28515625" style="848" customWidth="1"/>
    <col min="15628" max="15628" width="14.140625" style="848" customWidth="1"/>
    <col min="15629" max="15629" width="15.28515625" style="848" customWidth="1"/>
    <col min="15630" max="15873" width="11.42578125" style="848"/>
    <col min="15874" max="15874" width="42.42578125" style="848" bestFit="1" customWidth="1"/>
    <col min="15875" max="15877" width="11.42578125" style="848"/>
    <col min="15878" max="15878" width="14.85546875" style="848" customWidth="1"/>
    <col min="15879" max="15879" width="11.42578125" style="848"/>
    <col min="15880" max="15880" width="15.5703125" style="848" customWidth="1"/>
    <col min="15881" max="15881" width="11.85546875" style="848" bestFit="1" customWidth="1"/>
    <col min="15882" max="15882" width="11.42578125" style="848"/>
    <col min="15883" max="15883" width="16.28515625" style="848" customWidth="1"/>
    <col min="15884" max="15884" width="14.140625" style="848" customWidth="1"/>
    <col min="15885" max="15885" width="15.28515625" style="848" customWidth="1"/>
    <col min="15886" max="16129" width="11.42578125" style="848"/>
    <col min="16130" max="16130" width="42.42578125" style="848" bestFit="1" customWidth="1"/>
    <col min="16131" max="16133" width="11.42578125" style="848"/>
    <col min="16134" max="16134" width="14.85546875" style="848" customWidth="1"/>
    <col min="16135" max="16135" width="11.42578125" style="848"/>
    <col min="16136" max="16136" width="15.5703125" style="848" customWidth="1"/>
    <col min="16137" max="16137" width="11.85546875" style="848" bestFit="1" customWidth="1"/>
    <col min="16138" max="16138" width="11.42578125" style="848"/>
    <col min="16139" max="16139" width="16.28515625" style="848" customWidth="1"/>
    <col min="16140" max="16140" width="14.140625" style="848" customWidth="1"/>
    <col min="16141" max="16141" width="15.28515625" style="848" customWidth="1"/>
    <col min="16142" max="16384" width="11.42578125" style="848"/>
  </cols>
  <sheetData>
    <row r="1" spans="1:13">
      <c r="A1" s="1231" t="s">
        <v>0</v>
      </c>
      <c r="B1" s="1232"/>
      <c r="C1" s="1232"/>
      <c r="D1" s="1232"/>
      <c r="E1" s="1232"/>
      <c r="F1" s="1232"/>
      <c r="G1" s="1232"/>
      <c r="H1" s="1232"/>
      <c r="I1" s="1232"/>
      <c r="J1" s="1232"/>
      <c r="K1" s="1232"/>
      <c r="L1" s="1232"/>
      <c r="M1" s="1233"/>
    </row>
    <row r="2" spans="1:13">
      <c r="A2" s="1234" t="s">
        <v>1</v>
      </c>
      <c r="B2" s="1228"/>
      <c r="C2" s="1228"/>
      <c r="D2" s="1228"/>
      <c r="E2" s="1228"/>
      <c r="F2" s="1228"/>
      <c r="G2" s="1228"/>
      <c r="H2" s="1228"/>
      <c r="I2" s="1228"/>
      <c r="J2" s="1228"/>
      <c r="K2" s="1228"/>
      <c r="L2" s="1228"/>
      <c r="M2" s="1235"/>
    </row>
    <row r="3" spans="1:13">
      <c r="A3" s="849"/>
      <c r="B3" s="850"/>
      <c r="C3" s="850"/>
      <c r="D3" s="850"/>
      <c r="E3" s="850"/>
      <c r="F3" s="850"/>
      <c r="G3" s="850"/>
      <c r="H3" s="850"/>
      <c r="I3" s="850"/>
      <c r="J3" s="850"/>
      <c r="K3" s="850"/>
      <c r="L3" s="850"/>
      <c r="M3" s="851" t="s">
        <v>221</v>
      </c>
    </row>
    <row r="4" spans="1:13">
      <c r="A4" s="852"/>
      <c r="B4" s="853"/>
      <c r="C4" s="853"/>
      <c r="D4" s="853"/>
      <c r="E4" s="853"/>
      <c r="F4" s="853"/>
      <c r="G4" s="853"/>
      <c r="H4" s="853"/>
      <c r="I4" s="853"/>
      <c r="J4" s="853"/>
      <c r="K4" s="853"/>
      <c r="L4" s="853"/>
      <c r="M4" s="854"/>
    </row>
    <row r="5" spans="1:13">
      <c r="A5" s="855"/>
      <c r="B5" s="856" t="s">
        <v>3</v>
      </c>
      <c r="C5" s="857" t="s">
        <v>680</v>
      </c>
      <c r="D5" s="857"/>
      <c r="E5" s="857"/>
      <c r="F5" s="857"/>
      <c r="G5" s="858"/>
      <c r="H5" s="859"/>
      <c r="I5" s="859"/>
      <c r="J5" s="859"/>
      <c r="K5" s="859"/>
      <c r="L5" s="856" t="s">
        <v>5</v>
      </c>
      <c r="M5" s="860">
        <v>3650424.4</v>
      </c>
    </row>
    <row r="6" spans="1:13">
      <c r="A6" s="855"/>
      <c r="B6" s="856"/>
      <c r="C6" s="857"/>
      <c r="D6" s="857"/>
      <c r="E6" s="857"/>
      <c r="F6" s="857"/>
      <c r="G6" s="858"/>
      <c r="H6" s="859"/>
      <c r="I6" s="859"/>
      <c r="J6" s="859"/>
      <c r="K6" s="1229" t="s">
        <v>681</v>
      </c>
      <c r="L6" s="1229"/>
      <c r="M6" s="860" t="s">
        <v>682</v>
      </c>
    </row>
    <row r="7" spans="1:13">
      <c r="A7" s="855"/>
      <c r="B7" s="856" t="s">
        <v>7</v>
      </c>
      <c r="C7" s="861">
        <v>2</v>
      </c>
      <c r="D7" s="859"/>
      <c r="E7" s="857"/>
      <c r="F7" s="857"/>
      <c r="G7" s="857"/>
      <c r="H7" s="859"/>
      <c r="I7" s="859"/>
      <c r="J7" s="859"/>
      <c r="K7" s="859"/>
      <c r="L7" s="856" t="s">
        <v>8</v>
      </c>
      <c r="M7" s="860">
        <v>730084.88</v>
      </c>
    </row>
    <row r="8" spans="1:13">
      <c r="A8" s="855"/>
      <c r="B8" s="856" t="s">
        <v>9</v>
      </c>
      <c r="C8" s="857" t="s">
        <v>683</v>
      </c>
      <c r="D8" s="857"/>
      <c r="E8" s="857"/>
      <c r="F8" s="857"/>
      <c r="G8" s="862"/>
      <c r="H8" s="859"/>
      <c r="I8" s="859"/>
      <c r="J8" s="859"/>
      <c r="K8" s="859"/>
      <c r="L8" s="856" t="s">
        <v>11</v>
      </c>
      <c r="M8" s="863" t="s">
        <v>684</v>
      </c>
    </row>
    <row r="9" spans="1:13">
      <c r="A9" s="855"/>
      <c r="B9" s="856" t="s">
        <v>13</v>
      </c>
      <c r="C9" s="864" t="s">
        <v>685</v>
      </c>
      <c r="D9" s="864"/>
      <c r="E9" s="864"/>
      <c r="F9" s="857"/>
      <c r="G9" s="857"/>
      <c r="H9" s="859"/>
      <c r="I9" s="859"/>
      <c r="J9" s="859"/>
      <c r="K9" s="859"/>
      <c r="L9" s="859"/>
      <c r="M9" s="854"/>
    </row>
    <row r="10" spans="1:13">
      <c r="A10" s="855"/>
      <c r="B10" s="859"/>
      <c r="C10" s="859"/>
      <c r="D10" s="859"/>
      <c r="E10" s="859"/>
      <c r="F10" s="859"/>
      <c r="G10" s="859"/>
      <c r="H10" s="859"/>
      <c r="I10" s="859"/>
      <c r="J10" s="859"/>
      <c r="K10" s="859"/>
      <c r="L10" s="859"/>
      <c r="M10" s="854"/>
    </row>
    <row r="11" spans="1:13">
      <c r="A11" s="1236" t="s">
        <v>164</v>
      </c>
      <c r="B11" s="1236"/>
      <c r="C11" s="1236"/>
      <c r="D11" s="1236"/>
      <c r="E11" s="1236"/>
      <c r="F11" s="1236"/>
      <c r="G11" s="1237" t="s">
        <v>16</v>
      </c>
      <c r="H11" s="1237"/>
      <c r="I11" s="1237"/>
      <c r="J11" s="1237"/>
      <c r="K11" s="1238" t="s">
        <v>17</v>
      </c>
      <c r="L11" s="1238"/>
      <c r="M11" s="1238"/>
    </row>
    <row r="12" spans="1:13">
      <c r="A12" s="865" t="s">
        <v>18</v>
      </c>
      <c r="B12" s="866" t="s">
        <v>19</v>
      </c>
      <c r="C12" s="866" t="s">
        <v>20</v>
      </c>
      <c r="D12" s="866" t="s">
        <v>165</v>
      </c>
      <c r="E12" s="867" t="s">
        <v>22</v>
      </c>
      <c r="F12" s="867" t="s">
        <v>23</v>
      </c>
      <c r="G12" s="868" t="s">
        <v>24</v>
      </c>
      <c r="H12" s="868" t="s">
        <v>25</v>
      </c>
      <c r="I12" s="869" t="s">
        <v>26</v>
      </c>
      <c r="J12" s="870" t="s">
        <v>27</v>
      </c>
      <c r="K12" s="871" t="s">
        <v>24</v>
      </c>
      <c r="L12" s="872" t="s">
        <v>25</v>
      </c>
      <c r="M12" s="872" t="s">
        <v>26</v>
      </c>
    </row>
    <row r="13" spans="1:13">
      <c r="A13" s="873">
        <v>1</v>
      </c>
      <c r="B13" s="874" t="s">
        <v>686</v>
      </c>
      <c r="C13" s="875"/>
      <c r="D13" s="876"/>
      <c r="E13" s="877"/>
      <c r="F13" s="877"/>
      <c r="G13" s="878"/>
      <c r="H13" s="878"/>
      <c r="I13" s="879"/>
      <c r="J13" s="880"/>
      <c r="K13" s="881"/>
      <c r="L13" s="882"/>
      <c r="M13" s="882"/>
    </row>
    <row r="14" spans="1:13" ht="39.75" customHeight="1">
      <c r="A14" s="883">
        <v>1.01</v>
      </c>
      <c r="B14" s="884" t="s">
        <v>687</v>
      </c>
      <c r="C14" s="876" t="s">
        <v>688</v>
      </c>
      <c r="D14" s="885">
        <v>280</v>
      </c>
      <c r="E14" s="886">
        <v>900</v>
      </c>
      <c r="F14" s="887">
        <f>D14*E14</f>
        <v>252000</v>
      </c>
      <c r="G14" s="878"/>
      <c r="H14" s="888">
        <v>280</v>
      </c>
      <c r="I14" s="889"/>
      <c r="J14" s="890"/>
      <c r="K14" s="891"/>
      <c r="L14" s="892"/>
      <c r="M14" s="882"/>
    </row>
    <row r="15" spans="1:13" ht="39.75" customHeight="1">
      <c r="A15" s="883">
        <v>1.02</v>
      </c>
      <c r="B15" s="884" t="s">
        <v>689</v>
      </c>
      <c r="C15" s="893" t="s">
        <v>78</v>
      </c>
      <c r="D15" s="894">
        <v>14</v>
      </c>
      <c r="E15" s="895">
        <v>21840</v>
      </c>
      <c r="F15" s="895">
        <f>D15*E15</f>
        <v>305760</v>
      </c>
      <c r="G15" s="878">
        <v>12</v>
      </c>
      <c r="H15" s="878">
        <v>2</v>
      </c>
      <c r="I15" s="896">
        <f>G15+H15</f>
        <v>14</v>
      </c>
      <c r="J15" s="897">
        <f>I15/D15</f>
        <v>1</v>
      </c>
      <c r="K15" s="891">
        <f>G15*E15</f>
        <v>262080</v>
      </c>
      <c r="L15" s="898">
        <f>H15*E15</f>
        <v>43680</v>
      </c>
      <c r="M15" s="882">
        <f>K15+L15</f>
        <v>305760</v>
      </c>
    </row>
    <row r="16" spans="1:13" ht="51">
      <c r="A16" s="876">
        <v>1.03</v>
      </c>
      <c r="B16" s="899" t="s">
        <v>690</v>
      </c>
      <c r="C16" s="876" t="s">
        <v>32</v>
      </c>
      <c r="D16" s="900">
        <v>3</v>
      </c>
      <c r="E16" s="900">
        <v>95000</v>
      </c>
      <c r="F16" s="887">
        <f>D16*E16</f>
        <v>285000</v>
      </c>
      <c r="G16" s="878"/>
      <c r="H16" s="878">
        <v>3</v>
      </c>
      <c r="I16" s="896">
        <f>G16+H16</f>
        <v>3</v>
      </c>
      <c r="J16" s="897">
        <f>I16/D16</f>
        <v>1</v>
      </c>
      <c r="K16" s="901"/>
      <c r="L16" s="898">
        <f>H16*E16</f>
        <v>285000</v>
      </c>
      <c r="M16" s="882">
        <f>K16+L16</f>
        <v>285000</v>
      </c>
    </row>
    <row r="17" spans="1:13">
      <c r="A17" s="883"/>
      <c r="B17" s="902" t="s">
        <v>691</v>
      </c>
      <c r="C17" s="876"/>
      <c r="D17" s="877"/>
      <c r="E17" s="877"/>
      <c r="F17" s="903">
        <f>SUM(F14:F16)</f>
        <v>842760</v>
      </c>
      <c r="G17" s="878"/>
      <c r="H17" s="878"/>
      <c r="I17" s="889"/>
      <c r="J17" s="890"/>
      <c r="K17" s="904">
        <f>SUM(K15:K16)</f>
        <v>262080</v>
      </c>
      <c r="L17" s="905">
        <f>SUM(L15:L16)</f>
        <v>328680</v>
      </c>
      <c r="M17" s="906">
        <f>K17+L17</f>
        <v>590760</v>
      </c>
    </row>
    <row r="18" spans="1:13">
      <c r="A18" s="907">
        <v>2</v>
      </c>
      <c r="B18" s="874" t="s">
        <v>692</v>
      </c>
      <c r="C18" s="893"/>
      <c r="D18" s="908"/>
      <c r="E18" s="909"/>
      <c r="F18" s="887"/>
      <c r="G18" s="878"/>
      <c r="H18" s="878"/>
      <c r="I18" s="889"/>
      <c r="J18" s="890"/>
      <c r="K18" s="910"/>
      <c r="L18" s="892"/>
      <c r="M18" s="882"/>
    </row>
    <row r="19" spans="1:13" ht="51">
      <c r="A19" s="883">
        <v>2.0099999999999998</v>
      </c>
      <c r="B19" s="884" t="s">
        <v>693</v>
      </c>
      <c r="C19" s="893" t="s">
        <v>688</v>
      </c>
      <c r="D19" s="911">
        <v>80</v>
      </c>
      <c r="E19" s="912">
        <v>800</v>
      </c>
      <c r="F19" s="913">
        <f>D19*E19</f>
        <v>64000</v>
      </c>
      <c r="G19" s="878"/>
      <c r="H19" s="878"/>
      <c r="I19" s="889"/>
      <c r="J19" s="890"/>
      <c r="K19" s="914"/>
      <c r="L19" s="892"/>
      <c r="M19" s="915"/>
    </row>
    <row r="20" spans="1:13" ht="25.5">
      <c r="A20" s="883">
        <v>2.02</v>
      </c>
      <c r="B20" s="916" t="s">
        <v>694</v>
      </c>
      <c r="C20" s="893" t="s">
        <v>78</v>
      </c>
      <c r="D20" s="911">
        <v>4</v>
      </c>
      <c r="E20" s="917">
        <v>21500</v>
      </c>
      <c r="F20" s="918">
        <f>D20*E20</f>
        <v>86000</v>
      </c>
      <c r="G20" s="878"/>
      <c r="H20" s="878"/>
      <c r="I20" s="889"/>
      <c r="J20" s="890"/>
      <c r="K20" s="881"/>
      <c r="L20" s="892"/>
      <c r="M20" s="882"/>
    </row>
    <row r="21" spans="1:13">
      <c r="A21" s="883">
        <v>2.0299999999999998</v>
      </c>
      <c r="B21" s="919" t="s">
        <v>695</v>
      </c>
      <c r="C21" s="920" t="s">
        <v>32</v>
      </c>
      <c r="D21" s="911">
        <v>1</v>
      </c>
      <c r="E21" s="917">
        <v>25000</v>
      </c>
      <c r="F21" s="918">
        <f>D21*E21</f>
        <v>25000</v>
      </c>
      <c r="G21" s="878"/>
      <c r="H21" s="878"/>
      <c r="I21" s="889"/>
      <c r="J21" s="890"/>
      <c r="K21" s="921"/>
      <c r="L21" s="892"/>
      <c r="M21" s="882"/>
    </row>
    <row r="22" spans="1:13">
      <c r="A22" s="922">
        <v>2.04</v>
      </c>
      <c r="B22" s="923" t="s">
        <v>696</v>
      </c>
      <c r="C22" s="920" t="s">
        <v>32</v>
      </c>
      <c r="D22" s="924">
        <v>1</v>
      </c>
      <c r="E22" s="925">
        <v>25000</v>
      </c>
      <c r="F22" s="918">
        <f>D22*E22</f>
        <v>25000</v>
      </c>
      <c r="G22" s="878"/>
      <c r="H22" s="878"/>
      <c r="I22" s="889"/>
      <c r="J22" s="890"/>
      <c r="K22" s="921"/>
      <c r="L22" s="892"/>
      <c r="M22" s="882"/>
    </row>
    <row r="23" spans="1:13" ht="51">
      <c r="A23" s="922"/>
      <c r="B23" s="926" t="s">
        <v>690</v>
      </c>
      <c r="C23" s="927" t="s">
        <v>32</v>
      </c>
      <c r="D23" s="911">
        <v>1</v>
      </c>
      <c r="E23" s="928">
        <v>95000</v>
      </c>
      <c r="F23" s="918">
        <f>D23*E23</f>
        <v>95000</v>
      </c>
      <c r="G23" s="878"/>
      <c r="H23" s="878"/>
      <c r="I23" s="889"/>
      <c r="J23" s="890"/>
      <c r="K23" s="921"/>
      <c r="L23" s="892"/>
      <c r="M23" s="882"/>
    </row>
    <row r="24" spans="1:13">
      <c r="A24" s="883"/>
      <c r="B24" s="902" t="s">
        <v>697</v>
      </c>
      <c r="C24" s="920"/>
      <c r="D24" s="911"/>
      <c r="E24" s="912"/>
      <c r="F24" s="929">
        <f>SUM(F19:F23)</f>
        <v>295000</v>
      </c>
      <c r="G24" s="878"/>
      <c r="H24" s="878"/>
      <c r="I24" s="889"/>
      <c r="J24" s="890"/>
      <c r="K24" s="921"/>
      <c r="L24" s="892"/>
      <c r="M24" s="882"/>
    </row>
    <row r="25" spans="1:13">
      <c r="A25" s="930">
        <v>3</v>
      </c>
      <c r="B25" s="874" t="s">
        <v>698</v>
      </c>
      <c r="C25" s="931"/>
      <c r="D25" s="877"/>
      <c r="E25" s="912"/>
      <c r="F25" s="932"/>
      <c r="G25" s="878"/>
      <c r="H25" s="878"/>
      <c r="I25" s="889"/>
      <c r="J25" s="897"/>
      <c r="K25" s="914"/>
      <c r="L25" s="933"/>
      <c r="M25" s="915"/>
    </row>
    <row r="26" spans="1:13" ht="51">
      <c r="A26" s="934">
        <f t="shared" ref="A26:A31" si="0">A25+0.01</f>
        <v>3.01</v>
      </c>
      <c r="B26" s="935" t="s">
        <v>699</v>
      </c>
      <c r="C26" s="931" t="s">
        <v>688</v>
      </c>
      <c r="D26" s="911">
        <v>250</v>
      </c>
      <c r="E26" s="912">
        <v>900</v>
      </c>
      <c r="F26" s="918">
        <f>D26*E26</f>
        <v>225000</v>
      </c>
      <c r="G26" s="936">
        <v>140</v>
      </c>
      <c r="H26" s="936">
        <v>110</v>
      </c>
      <c r="I26" s="937">
        <f>G26+H26</f>
        <v>250</v>
      </c>
      <c r="J26" s="938">
        <f>I26/D26</f>
        <v>1</v>
      </c>
      <c r="K26" s="939">
        <f>G26*E26</f>
        <v>126000</v>
      </c>
      <c r="L26" s="940">
        <f>H26*E26</f>
        <v>99000</v>
      </c>
      <c r="M26" s="941">
        <f t="shared" ref="M26:M31" si="1">K26+L26</f>
        <v>225000</v>
      </c>
    </row>
    <row r="27" spans="1:13">
      <c r="A27" s="934">
        <f t="shared" si="0"/>
        <v>3.0199999999999996</v>
      </c>
      <c r="B27" s="942" t="s">
        <v>700</v>
      </c>
      <c r="C27" s="893" t="s">
        <v>78</v>
      </c>
      <c r="D27" s="911">
        <v>13</v>
      </c>
      <c r="E27" s="912">
        <v>26500</v>
      </c>
      <c r="F27" s="932">
        <f>D27*E27</f>
        <v>344500</v>
      </c>
      <c r="G27" s="936">
        <v>14</v>
      </c>
      <c r="H27" s="936">
        <v>-1</v>
      </c>
      <c r="I27" s="937">
        <f>G27+H27</f>
        <v>13</v>
      </c>
      <c r="J27" s="938">
        <f>I27/D27</f>
        <v>1</v>
      </c>
      <c r="K27" s="921">
        <f>G27*E27</f>
        <v>371000</v>
      </c>
      <c r="L27" s="943">
        <f>H27*E27</f>
        <v>-26500</v>
      </c>
      <c r="M27" s="941">
        <f t="shared" si="1"/>
        <v>344500</v>
      </c>
    </row>
    <row r="28" spans="1:13">
      <c r="A28" s="934">
        <f t="shared" si="0"/>
        <v>3.0299999999999994</v>
      </c>
      <c r="B28" s="919" t="s">
        <v>695</v>
      </c>
      <c r="C28" s="920" t="s">
        <v>32</v>
      </c>
      <c r="D28" s="911">
        <v>2</v>
      </c>
      <c r="E28" s="912">
        <v>25000</v>
      </c>
      <c r="F28" s="932">
        <f>D28*E28</f>
        <v>50000</v>
      </c>
      <c r="G28" s="936">
        <v>1</v>
      </c>
      <c r="H28" s="936">
        <v>1</v>
      </c>
      <c r="I28" s="937">
        <f>G28+H28</f>
        <v>2</v>
      </c>
      <c r="J28" s="938">
        <f>I28/D28</f>
        <v>1</v>
      </c>
      <c r="K28" s="921">
        <f>G28*E28</f>
        <v>25000</v>
      </c>
      <c r="L28" s="943">
        <f>H28*E28</f>
        <v>25000</v>
      </c>
      <c r="M28" s="941">
        <f t="shared" si="1"/>
        <v>50000</v>
      </c>
    </row>
    <row r="29" spans="1:13">
      <c r="A29" s="934">
        <f t="shared" si="0"/>
        <v>3.0399999999999991</v>
      </c>
      <c r="B29" s="919" t="s">
        <v>696</v>
      </c>
      <c r="C29" s="920" t="s">
        <v>32</v>
      </c>
      <c r="D29" s="911">
        <v>2</v>
      </c>
      <c r="E29" s="912">
        <v>25000</v>
      </c>
      <c r="F29" s="932">
        <f>D29*E29</f>
        <v>50000</v>
      </c>
      <c r="G29" s="936">
        <v>1</v>
      </c>
      <c r="H29" s="936">
        <v>1</v>
      </c>
      <c r="I29" s="937">
        <f>G29+H29</f>
        <v>2</v>
      </c>
      <c r="J29" s="938">
        <f>I29/D29</f>
        <v>1</v>
      </c>
      <c r="K29" s="921">
        <f>G29*E29</f>
        <v>25000</v>
      </c>
      <c r="L29" s="943">
        <f>H29*E29</f>
        <v>25000</v>
      </c>
      <c r="M29" s="941">
        <f t="shared" si="1"/>
        <v>50000</v>
      </c>
    </row>
    <row r="30" spans="1:13" ht="51">
      <c r="A30" s="934">
        <f t="shared" si="0"/>
        <v>3.0499999999999989</v>
      </c>
      <c r="B30" s="899" t="s">
        <v>701</v>
      </c>
      <c r="C30" s="927" t="s">
        <v>32</v>
      </c>
      <c r="D30" s="911">
        <v>2</v>
      </c>
      <c r="E30" s="944">
        <v>95000</v>
      </c>
      <c r="F30" s="918">
        <f>D30*E30</f>
        <v>190000</v>
      </c>
      <c r="G30" s="936">
        <v>1</v>
      </c>
      <c r="H30" s="936">
        <v>1</v>
      </c>
      <c r="I30" s="937">
        <f>G30+H30</f>
        <v>2</v>
      </c>
      <c r="J30" s="938">
        <f>I30/D30</f>
        <v>1</v>
      </c>
      <c r="K30" s="939">
        <f>G30*90000</f>
        <v>90000</v>
      </c>
      <c r="L30" s="940">
        <f>H30*E30</f>
        <v>95000</v>
      </c>
      <c r="M30" s="941">
        <f t="shared" si="1"/>
        <v>185000</v>
      </c>
    </row>
    <row r="31" spans="1:13">
      <c r="A31" s="934">
        <f t="shared" si="0"/>
        <v>3.0599999999999987</v>
      </c>
      <c r="B31" s="945" t="s">
        <v>702</v>
      </c>
      <c r="C31" s="931"/>
      <c r="D31" s="877"/>
      <c r="E31" s="912"/>
      <c r="F31" s="929">
        <f>SUM(F26:F30)</f>
        <v>859500</v>
      </c>
      <c r="G31" s="936"/>
      <c r="H31" s="878"/>
      <c r="I31" s="889"/>
      <c r="J31" s="897"/>
      <c r="K31" s="914">
        <f>SUM(K26:K30)</f>
        <v>637000</v>
      </c>
      <c r="L31" s="946">
        <f>SUM(L26:L30)</f>
        <v>217500</v>
      </c>
      <c r="M31" s="915">
        <f t="shared" si="1"/>
        <v>854500</v>
      </c>
    </row>
    <row r="32" spans="1:13">
      <c r="A32" s="930">
        <v>4</v>
      </c>
      <c r="B32" s="874" t="s">
        <v>703</v>
      </c>
      <c r="C32" s="931"/>
      <c r="D32" s="877"/>
      <c r="E32" s="912"/>
      <c r="F32" s="932"/>
      <c r="G32" s="878"/>
      <c r="H32" s="878"/>
      <c r="I32" s="889"/>
      <c r="J32" s="897"/>
      <c r="K32" s="914"/>
      <c r="L32" s="933"/>
      <c r="M32" s="915"/>
    </row>
    <row r="33" spans="1:13">
      <c r="A33" s="934">
        <f>A32+0.01</f>
        <v>4.01</v>
      </c>
      <c r="B33" s="902" t="s">
        <v>704</v>
      </c>
      <c r="C33" s="931" t="s">
        <v>32</v>
      </c>
      <c r="D33" s="877">
        <v>1</v>
      </c>
      <c r="E33" s="912">
        <v>50000</v>
      </c>
      <c r="F33" s="932">
        <f>D33*E33</f>
        <v>50000</v>
      </c>
      <c r="G33" s="878"/>
      <c r="H33" s="878"/>
      <c r="I33" s="889"/>
      <c r="J33" s="897"/>
      <c r="K33" s="914"/>
      <c r="L33" s="933"/>
      <c r="M33" s="915"/>
    </row>
    <row r="34" spans="1:13" ht="51">
      <c r="A34" s="934">
        <f>A33+0.01</f>
        <v>4.0199999999999996</v>
      </c>
      <c r="B34" s="926" t="s">
        <v>690</v>
      </c>
      <c r="C34" s="931" t="s">
        <v>78</v>
      </c>
      <c r="D34" s="928">
        <v>1</v>
      </c>
      <c r="E34" s="912">
        <v>95000</v>
      </c>
      <c r="F34" s="918">
        <f>D34*E34</f>
        <v>95000</v>
      </c>
      <c r="G34" s="878"/>
      <c r="H34" s="878"/>
      <c r="I34" s="889"/>
      <c r="J34" s="897"/>
      <c r="K34" s="914"/>
      <c r="L34" s="933"/>
      <c r="M34" s="915"/>
    </row>
    <row r="35" spans="1:13">
      <c r="A35" s="934">
        <f>A34+0.01</f>
        <v>4.0299999999999994</v>
      </c>
      <c r="B35" s="902" t="s">
        <v>705</v>
      </c>
      <c r="C35" s="931"/>
      <c r="D35" s="877"/>
      <c r="E35" s="912"/>
      <c r="F35" s="929">
        <f>SUM(F33:F34)</f>
        <v>145000</v>
      </c>
      <c r="G35" s="878"/>
      <c r="H35" s="878"/>
      <c r="I35" s="889"/>
      <c r="J35" s="897"/>
      <c r="K35" s="914"/>
      <c r="L35" s="933"/>
      <c r="M35" s="915"/>
    </row>
    <row r="36" spans="1:13">
      <c r="A36" s="930">
        <v>5</v>
      </c>
      <c r="B36" s="874" t="s">
        <v>706</v>
      </c>
      <c r="C36" s="931"/>
      <c r="D36" s="877"/>
      <c r="E36" s="912"/>
      <c r="F36" s="932"/>
      <c r="G36" s="878"/>
      <c r="H36" s="878"/>
      <c r="I36" s="889"/>
      <c r="J36" s="897"/>
      <c r="K36" s="914"/>
      <c r="L36" s="933"/>
      <c r="M36" s="915"/>
    </row>
    <row r="37" spans="1:13" ht="51">
      <c r="A37" s="934">
        <f t="shared" ref="A37:A42" si="2">A36+0.01</f>
        <v>5.01</v>
      </c>
      <c r="B37" s="935" t="s">
        <v>707</v>
      </c>
      <c r="C37" s="931" t="s">
        <v>688</v>
      </c>
      <c r="D37" s="911">
        <v>80</v>
      </c>
      <c r="E37" s="912">
        <v>900</v>
      </c>
      <c r="F37" s="918">
        <f>D37*E37</f>
        <v>72000</v>
      </c>
      <c r="G37" s="878"/>
      <c r="H37" s="878"/>
      <c r="I37" s="896"/>
      <c r="J37" s="897"/>
      <c r="K37" s="914"/>
      <c r="L37" s="933"/>
      <c r="M37" s="915"/>
    </row>
    <row r="38" spans="1:13">
      <c r="A38" s="934">
        <f t="shared" si="2"/>
        <v>5.0199999999999996</v>
      </c>
      <c r="B38" s="942" t="s">
        <v>700</v>
      </c>
      <c r="C38" s="893" t="s">
        <v>78</v>
      </c>
      <c r="D38" s="911">
        <v>4</v>
      </c>
      <c r="E38" s="912">
        <v>26500</v>
      </c>
      <c r="F38" s="932">
        <f>D38*E38</f>
        <v>106000</v>
      </c>
      <c r="G38" s="878">
        <v>5</v>
      </c>
      <c r="H38" s="878">
        <v>-1</v>
      </c>
      <c r="I38" s="937">
        <f>G38+H38</f>
        <v>4</v>
      </c>
      <c r="J38" s="938">
        <f>I38/D38</f>
        <v>1</v>
      </c>
      <c r="K38" s="939">
        <f>G38*E38</f>
        <v>132500</v>
      </c>
      <c r="L38" s="898">
        <f>H38*E38</f>
        <v>-26500</v>
      </c>
      <c r="M38" s="941">
        <f>K38+L38</f>
        <v>106000</v>
      </c>
    </row>
    <row r="39" spans="1:13">
      <c r="A39" s="934">
        <f t="shared" si="2"/>
        <v>5.0299999999999994</v>
      </c>
      <c r="B39" s="919" t="s">
        <v>695</v>
      </c>
      <c r="C39" s="920" t="s">
        <v>32</v>
      </c>
      <c r="D39" s="911">
        <v>1</v>
      </c>
      <c r="E39" s="912">
        <v>25000</v>
      </c>
      <c r="F39" s="932">
        <f>D39*E39</f>
        <v>25000</v>
      </c>
      <c r="G39" s="878"/>
      <c r="H39" s="878">
        <v>1</v>
      </c>
      <c r="I39" s="937">
        <f>G39+H39</f>
        <v>1</v>
      </c>
      <c r="J39" s="938">
        <f>I39/D39</f>
        <v>1</v>
      </c>
      <c r="K39" s="939"/>
      <c r="L39" s="940">
        <f>H39*E39</f>
        <v>25000</v>
      </c>
      <c r="M39" s="941">
        <f>K39+L39</f>
        <v>25000</v>
      </c>
    </row>
    <row r="40" spans="1:13">
      <c r="A40" s="934">
        <f t="shared" si="2"/>
        <v>5.0399999999999991</v>
      </c>
      <c r="B40" s="919" t="s">
        <v>696</v>
      </c>
      <c r="C40" s="920" t="s">
        <v>32</v>
      </c>
      <c r="D40" s="911">
        <v>1</v>
      </c>
      <c r="E40" s="912">
        <v>25000</v>
      </c>
      <c r="F40" s="932">
        <f>D40*E40</f>
        <v>25000</v>
      </c>
      <c r="G40" s="878"/>
      <c r="H40" s="878">
        <v>1</v>
      </c>
      <c r="I40" s="937">
        <f>G40+H40</f>
        <v>1</v>
      </c>
      <c r="J40" s="938">
        <f>I40/D40</f>
        <v>1</v>
      </c>
      <c r="K40" s="939"/>
      <c r="L40" s="940">
        <f>H40*E40</f>
        <v>25000</v>
      </c>
      <c r="M40" s="941">
        <f>K40+L40</f>
        <v>25000</v>
      </c>
    </row>
    <row r="41" spans="1:13" ht="51">
      <c r="A41" s="934">
        <f t="shared" si="2"/>
        <v>5.0499999999999989</v>
      </c>
      <c r="B41" s="899" t="s">
        <v>701</v>
      </c>
      <c r="C41" s="927" t="s">
        <v>32</v>
      </c>
      <c r="D41" s="911">
        <v>1</v>
      </c>
      <c r="E41" s="928">
        <v>95000</v>
      </c>
      <c r="F41" s="918">
        <f>D41*E41</f>
        <v>95000</v>
      </c>
      <c r="G41" s="878"/>
      <c r="H41" s="936">
        <v>1</v>
      </c>
      <c r="I41" s="937">
        <f>G41+H41</f>
        <v>1</v>
      </c>
      <c r="J41" s="938">
        <f>I41/D41</f>
        <v>1</v>
      </c>
      <c r="K41" s="939"/>
      <c r="L41" s="940">
        <f>H41*E41</f>
        <v>95000</v>
      </c>
      <c r="M41" s="941">
        <f>K41+L41</f>
        <v>95000</v>
      </c>
    </row>
    <row r="42" spans="1:13">
      <c r="A42" s="934">
        <f t="shared" si="2"/>
        <v>5.0599999999999987</v>
      </c>
      <c r="B42" s="945" t="s">
        <v>708</v>
      </c>
      <c r="C42" s="931"/>
      <c r="D42" s="877"/>
      <c r="E42" s="912"/>
      <c r="F42" s="929">
        <f>SUM(F37:F41)</f>
        <v>323000</v>
      </c>
      <c r="G42" s="878"/>
      <c r="H42" s="878"/>
      <c r="I42" s="889"/>
      <c r="J42" s="897"/>
      <c r="K42" s="914">
        <f>SUM(K38:K41)</f>
        <v>132500</v>
      </c>
      <c r="L42" s="933">
        <f>SUM(L38:L41)</f>
        <v>118500</v>
      </c>
      <c r="M42" s="915">
        <f>SUM(K42:L42)</f>
        <v>251000</v>
      </c>
    </row>
    <row r="43" spans="1:13">
      <c r="A43" s="930">
        <v>6</v>
      </c>
      <c r="B43" s="874" t="s">
        <v>709</v>
      </c>
      <c r="C43" s="931"/>
      <c r="D43" s="877"/>
      <c r="E43" s="912"/>
      <c r="F43" s="932"/>
      <c r="G43" s="878"/>
      <c r="H43" s="878"/>
      <c r="I43" s="889"/>
      <c r="J43" s="897"/>
      <c r="K43" s="914"/>
      <c r="L43" s="933"/>
      <c r="M43" s="915"/>
    </row>
    <row r="44" spans="1:13" ht="51">
      <c r="A44" s="934">
        <f t="shared" ref="A44:A49" si="3">A43+0.01</f>
        <v>6.01</v>
      </c>
      <c r="B44" s="935" t="s">
        <v>710</v>
      </c>
      <c r="C44" s="931" t="s">
        <v>688</v>
      </c>
      <c r="D44" s="911">
        <v>80</v>
      </c>
      <c r="E44" s="912">
        <v>900</v>
      </c>
      <c r="F44" s="918">
        <f>D44*E44</f>
        <v>72000</v>
      </c>
      <c r="G44" s="878"/>
      <c r="H44" s="878">
        <v>80</v>
      </c>
      <c r="I44" s="889"/>
      <c r="J44" s="897"/>
      <c r="K44" s="914"/>
      <c r="L44" s="943">
        <f>H44*E44</f>
        <v>72000</v>
      </c>
      <c r="M44" s="947">
        <f t="shared" ref="M44:M49" si="4">K44+L44</f>
        <v>72000</v>
      </c>
    </row>
    <row r="45" spans="1:13">
      <c r="A45" s="934">
        <f t="shared" si="3"/>
        <v>6.02</v>
      </c>
      <c r="B45" s="942" t="s">
        <v>711</v>
      </c>
      <c r="C45" s="893" t="s">
        <v>78</v>
      </c>
      <c r="D45" s="911">
        <v>4</v>
      </c>
      <c r="E45" s="912">
        <v>42000</v>
      </c>
      <c r="F45" s="932">
        <f>D45*E45</f>
        <v>168000</v>
      </c>
      <c r="G45" s="878">
        <v>5</v>
      </c>
      <c r="H45" s="878">
        <v>-1</v>
      </c>
      <c r="I45" s="937">
        <f>G45+H45</f>
        <v>4</v>
      </c>
      <c r="J45" s="938">
        <f>I45/D45</f>
        <v>1</v>
      </c>
      <c r="K45" s="939">
        <f>G45*E45</f>
        <v>210000</v>
      </c>
      <c r="L45" s="898">
        <f>H45*E45</f>
        <v>-42000</v>
      </c>
      <c r="M45" s="941">
        <f t="shared" si="4"/>
        <v>168000</v>
      </c>
    </row>
    <row r="46" spans="1:13">
      <c r="A46" s="934">
        <f t="shared" si="3"/>
        <v>6.0299999999999994</v>
      </c>
      <c r="B46" s="919" t="s">
        <v>695</v>
      </c>
      <c r="C46" s="920" t="s">
        <v>32</v>
      </c>
      <c r="D46" s="911">
        <v>1</v>
      </c>
      <c r="E46" s="912">
        <v>25000</v>
      </c>
      <c r="F46" s="932">
        <f>D46*E46</f>
        <v>25000</v>
      </c>
      <c r="G46" s="878"/>
      <c r="H46" s="878">
        <v>1</v>
      </c>
      <c r="I46" s="937">
        <f>G46+H46</f>
        <v>1</v>
      </c>
      <c r="J46" s="938">
        <f>I46/D46</f>
        <v>1</v>
      </c>
      <c r="K46" s="914"/>
      <c r="L46" s="898">
        <f>H46*E46</f>
        <v>25000</v>
      </c>
      <c r="M46" s="941">
        <f t="shared" si="4"/>
        <v>25000</v>
      </c>
    </row>
    <row r="47" spans="1:13">
      <c r="A47" s="934">
        <f t="shared" si="3"/>
        <v>6.0399999999999991</v>
      </c>
      <c r="B47" s="919" t="s">
        <v>696</v>
      </c>
      <c r="C47" s="920" t="s">
        <v>32</v>
      </c>
      <c r="D47" s="911">
        <v>1</v>
      </c>
      <c r="E47" s="912">
        <v>25000</v>
      </c>
      <c r="F47" s="932">
        <f>D47*E47</f>
        <v>25000</v>
      </c>
      <c r="G47" s="878"/>
      <c r="H47" s="878">
        <v>1</v>
      </c>
      <c r="I47" s="937">
        <f>G47+H47</f>
        <v>1</v>
      </c>
      <c r="J47" s="938">
        <f>I47/D47</f>
        <v>1</v>
      </c>
      <c r="K47" s="914"/>
      <c r="L47" s="898">
        <f>H47*E47</f>
        <v>25000</v>
      </c>
      <c r="M47" s="941">
        <f t="shared" si="4"/>
        <v>25000</v>
      </c>
    </row>
    <row r="48" spans="1:13" ht="51">
      <c r="A48" s="934">
        <f t="shared" si="3"/>
        <v>6.0499999999999989</v>
      </c>
      <c r="B48" s="899" t="s">
        <v>701</v>
      </c>
      <c r="C48" s="927" t="s">
        <v>32</v>
      </c>
      <c r="D48" s="911">
        <v>1</v>
      </c>
      <c r="E48" s="928">
        <v>95000</v>
      </c>
      <c r="F48" s="918">
        <f>D48*E48</f>
        <v>95000</v>
      </c>
      <c r="G48" s="878"/>
      <c r="H48" s="936">
        <v>1</v>
      </c>
      <c r="I48" s="937">
        <f>G48+H48</f>
        <v>1</v>
      </c>
      <c r="J48" s="938">
        <f>I48/D48</f>
        <v>1</v>
      </c>
      <c r="K48" s="914"/>
      <c r="L48" s="948">
        <f>H48*E48</f>
        <v>95000</v>
      </c>
      <c r="M48" s="941">
        <f t="shared" si="4"/>
        <v>95000</v>
      </c>
    </row>
    <row r="49" spans="1:13" ht="24">
      <c r="A49" s="934">
        <f t="shared" si="3"/>
        <v>6.0599999999999987</v>
      </c>
      <c r="B49" s="949" t="s">
        <v>712</v>
      </c>
      <c r="C49" s="927"/>
      <c r="D49" s="911"/>
      <c r="E49" s="928"/>
      <c r="F49" s="950">
        <f>SUM(F44:F48)</f>
        <v>385000</v>
      </c>
      <c r="G49" s="878"/>
      <c r="H49" s="878"/>
      <c r="I49" s="937"/>
      <c r="J49" s="938"/>
      <c r="K49" s="914">
        <f>SUM(K45:K48)</f>
        <v>210000</v>
      </c>
      <c r="L49" s="933">
        <f>SUM(L44:L48)</f>
        <v>175000</v>
      </c>
      <c r="M49" s="951">
        <f t="shared" si="4"/>
        <v>385000</v>
      </c>
    </row>
    <row r="50" spans="1:13">
      <c r="A50" s="952"/>
      <c r="B50" s="930"/>
      <c r="C50" s="927"/>
      <c r="D50" s="927"/>
      <c r="E50" s="927"/>
      <c r="F50" s="953"/>
      <c r="G50" s="954"/>
      <c r="H50" s="954"/>
      <c r="I50" s="954"/>
      <c r="J50" s="954"/>
      <c r="K50" s="914"/>
      <c r="L50" s="955"/>
      <c r="M50" s="915"/>
    </row>
    <row r="51" spans="1:13">
      <c r="A51" s="930">
        <v>7</v>
      </c>
      <c r="B51" s="956" t="s">
        <v>713</v>
      </c>
      <c r="C51" s="900"/>
      <c r="D51" s="957"/>
      <c r="E51" s="900"/>
      <c r="F51" s="958"/>
      <c r="G51" s="954"/>
      <c r="H51" s="954"/>
      <c r="I51" s="954"/>
      <c r="J51" s="954"/>
      <c r="K51" s="914"/>
      <c r="L51" s="955"/>
      <c r="M51" s="915"/>
    </row>
    <row r="52" spans="1:13">
      <c r="A52" s="934">
        <f>A51+0.01</f>
        <v>7.01</v>
      </c>
      <c r="B52" s="959" t="s">
        <v>714</v>
      </c>
      <c r="C52" s="911" t="s">
        <v>715</v>
      </c>
      <c r="D52" s="911">
        <v>1</v>
      </c>
      <c r="E52" s="960">
        <v>95000</v>
      </c>
      <c r="F52" s="932">
        <f>D52*E52</f>
        <v>95000</v>
      </c>
      <c r="G52" s="954"/>
      <c r="H52" s="878">
        <v>1</v>
      </c>
      <c r="I52" s="937">
        <f>G52+H52</f>
        <v>1</v>
      </c>
      <c r="J52" s="938">
        <f>I52/D52</f>
        <v>1</v>
      </c>
      <c r="K52" s="914"/>
      <c r="L52" s="948">
        <f>H52*E52</f>
        <v>95000</v>
      </c>
      <c r="M52" s="941">
        <f>K52+L52</f>
        <v>95000</v>
      </c>
    </row>
    <row r="53" spans="1:13">
      <c r="A53" s="934">
        <f>A52+0.01</f>
        <v>7.02</v>
      </c>
      <c r="B53" s="959" t="s">
        <v>716</v>
      </c>
      <c r="C53" s="911" t="s">
        <v>715</v>
      </c>
      <c r="D53" s="911">
        <v>1</v>
      </c>
      <c r="E53" s="960">
        <v>95000</v>
      </c>
      <c r="F53" s="932">
        <f>D53*E53</f>
        <v>95000</v>
      </c>
      <c r="G53" s="954"/>
      <c r="H53" s="936">
        <v>1</v>
      </c>
      <c r="I53" s="937">
        <f>G53+H53</f>
        <v>1</v>
      </c>
      <c r="J53" s="938">
        <f>I53/D53</f>
        <v>1</v>
      </c>
      <c r="K53" s="914"/>
      <c r="L53" s="948">
        <f>H53*E53</f>
        <v>95000</v>
      </c>
      <c r="M53" s="941">
        <f>K53+L53</f>
        <v>95000</v>
      </c>
    </row>
    <row r="54" spans="1:13" ht="25.5">
      <c r="A54" s="934">
        <f>A53+0.01</f>
        <v>7.0299999999999994</v>
      </c>
      <c r="B54" s="961" t="s">
        <v>717</v>
      </c>
      <c r="C54" s="962"/>
      <c r="D54" s="962"/>
      <c r="E54" s="962"/>
      <c r="F54" s="963">
        <f>SUM(F52:F53)</f>
        <v>190000</v>
      </c>
      <c r="G54" s="954"/>
      <c r="H54" s="954"/>
      <c r="I54" s="954"/>
      <c r="J54" s="954"/>
      <c r="K54" s="914"/>
      <c r="L54" s="955">
        <f>SUM(L52:L53)</f>
        <v>190000</v>
      </c>
      <c r="M54" s="915">
        <f>SUM(M52:M53)</f>
        <v>190000</v>
      </c>
    </row>
    <row r="55" spans="1:13">
      <c r="A55" s="952"/>
      <c r="B55" s="964"/>
      <c r="C55" s="962"/>
      <c r="D55" s="962"/>
      <c r="E55" s="962"/>
      <c r="F55" s="962"/>
      <c r="G55" s="954"/>
      <c r="H55" s="954"/>
      <c r="I55" s="954"/>
      <c r="J55" s="954"/>
      <c r="K55" s="914"/>
      <c r="L55" s="955"/>
      <c r="M55" s="915"/>
    </row>
    <row r="56" spans="1:13" ht="24">
      <c r="A56" s="930">
        <v>8</v>
      </c>
      <c r="B56" s="965" t="s">
        <v>718</v>
      </c>
      <c r="C56" s="966"/>
      <c r="D56" s="876"/>
      <c r="E56" s="967"/>
      <c r="F56" s="966"/>
      <c r="G56" s="954"/>
      <c r="H56" s="954"/>
      <c r="I56" s="954"/>
      <c r="J56" s="954"/>
      <c r="K56" s="914"/>
      <c r="L56" s="955"/>
      <c r="M56" s="915"/>
    </row>
    <row r="57" spans="1:13" ht="51">
      <c r="A57" s="934">
        <f t="shared" ref="A57:A62" si="5">A56+0.01</f>
        <v>8.01</v>
      </c>
      <c r="B57" s="884" t="s">
        <v>719</v>
      </c>
      <c r="C57" s="968" t="s">
        <v>688</v>
      </c>
      <c r="D57" s="911">
        <v>160</v>
      </c>
      <c r="E57" s="912">
        <v>900</v>
      </c>
      <c r="F57" s="918">
        <f>D57*E57</f>
        <v>144000</v>
      </c>
      <c r="G57" s="954"/>
      <c r="H57" s="954"/>
      <c r="I57" s="954"/>
      <c r="J57" s="954"/>
      <c r="K57" s="914"/>
      <c r="L57" s="955"/>
      <c r="M57" s="915"/>
    </row>
    <row r="58" spans="1:13">
      <c r="A58" s="934">
        <f t="shared" si="5"/>
        <v>8.02</v>
      </c>
      <c r="B58" s="942" t="s">
        <v>694</v>
      </c>
      <c r="C58" s="968" t="s">
        <v>78</v>
      </c>
      <c r="D58" s="911">
        <v>8</v>
      </c>
      <c r="E58" s="912">
        <v>18250</v>
      </c>
      <c r="F58" s="932">
        <f>D58*E58</f>
        <v>146000</v>
      </c>
      <c r="G58" s="954"/>
      <c r="H58" s="954"/>
      <c r="I58" s="954"/>
      <c r="J58" s="954"/>
      <c r="K58" s="914"/>
      <c r="L58" s="955"/>
      <c r="M58" s="915"/>
    </row>
    <row r="59" spans="1:13">
      <c r="A59" s="934">
        <f t="shared" si="5"/>
        <v>8.0299999999999994</v>
      </c>
      <c r="B59" s="919" t="s">
        <v>695</v>
      </c>
      <c r="C59" s="924" t="s">
        <v>32</v>
      </c>
      <c r="D59" s="911">
        <v>2</v>
      </c>
      <c r="E59" s="912">
        <v>25000</v>
      </c>
      <c r="F59" s="932">
        <f>D59*E59</f>
        <v>50000</v>
      </c>
      <c r="G59" s="954"/>
      <c r="H59" s="954"/>
      <c r="I59" s="954"/>
      <c r="J59" s="954"/>
      <c r="K59" s="914"/>
      <c r="L59" s="955"/>
      <c r="M59" s="915"/>
    </row>
    <row r="60" spans="1:13">
      <c r="A60" s="934">
        <f t="shared" si="5"/>
        <v>8.0399999999999991</v>
      </c>
      <c r="B60" s="919" t="s">
        <v>696</v>
      </c>
      <c r="C60" s="924" t="s">
        <v>32</v>
      </c>
      <c r="D60" s="911">
        <v>2</v>
      </c>
      <c r="E60" s="912">
        <v>25000</v>
      </c>
      <c r="F60" s="932">
        <f>D60*E60</f>
        <v>50000</v>
      </c>
      <c r="G60" s="954"/>
      <c r="H60" s="954"/>
      <c r="I60" s="954"/>
      <c r="J60" s="954"/>
      <c r="K60" s="914"/>
      <c r="L60" s="955"/>
      <c r="M60" s="915"/>
    </row>
    <row r="61" spans="1:13" ht="51">
      <c r="A61" s="934">
        <f t="shared" si="5"/>
        <v>8.0499999999999989</v>
      </c>
      <c r="B61" s="926" t="s">
        <v>701</v>
      </c>
      <c r="C61" s="911" t="s">
        <v>32</v>
      </c>
      <c r="D61" s="911">
        <v>2</v>
      </c>
      <c r="E61" s="960">
        <v>95000</v>
      </c>
      <c r="F61" s="918">
        <f>D61*E61</f>
        <v>190000</v>
      </c>
      <c r="G61" s="954"/>
      <c r="H61" s="954"/>
      <c r="I61" s="954"/>
      <c r="J61" s="954"/>
      <c r="K61" s="914"/>
      <c r="L61" s="955"/>
      <c r="M61" s="915"/>
    </row>
    <row r="62" spans="1:13" ht="25.5">
      <c r="A62" s="934">
        <f t="shared" si="5"/>
        <v>8.0599999999999987</v>
      </c>
      <c r="B62" s="961" t="s">
        <v>720</v>
      </c>
      <c r="C62" s="962"/>
      <c r="D62" s="962"/>
      <c r="E62" s="962"/>
      <c r="F62" s="963">
        <f>SUM(F57:F61)</f>
        <v>580000</v>
      </c>
      <c r="G62" s="954"/>
      <c r="H62" s="954"/>
      <c r="I62" s="954"/>
      <c r="J62" s="954"/>
      <c r="K62" s="914"/>
      <c r="L62" s="955"/>
      <c r="M62" s="915"/>
    </row>
    <row r="63" spans="1:13">
      <c r="A63" s="969"/>
      <c r="B63" s="970" t="s">
        <v>210</v>
      </c>
      <c r="C63" s="971"/>
      <c r="D63" s="971"/>
      <c r="E63" s="971"/>
      <c r="F63" s="972">
        <f>F62++F54+F49+F42+F35+F31+F24+F17</f>
        <v>3620260</v>
      </c>
      <c r="G63" s="973"/>
      <c r="H63" s="973"/>
      <c r="I63" s="973"/>
      <c r="J63" s="973"/>
      <c r="K63" s="974">
        <f>K49+K42+K31+K17</f>
        <v>1241580</v>
      </c>
      <c r="L63" s="975">
        <f>L54+L49+L42+L31+L17</f>
        <v>1029680</v>
      </c>
      <c r="M63" s="976"/>
    </row>
    <row r="64" spans="1:13">
      <c r="A64" s="969"/>
      <c r="B64" s="977"/>
      <c r="C64" s="978"/>
      <c r="D64" s="979"/>
      <c r="E64" s="979"/>
      <c r="F64" s="973"/>
      <c r="G64" s="973"/>
      <c r="H64" s="973"/>
      <c r="I64" s="973"/>
      <c r="J64" s="973"/>
      <c r="K64" s="974"/>
      <c r="L64" s="975"/>
      <c r="M64" s="976"/>
    </row>
    <row r="65" spans="1:13">
      <c r="B65" s="980" t="s">
        <v>211</v>
      </c>
    </row>
    <row r="66" spans="1:13">
      <c r="A66" s="859"/>
      <c r="B66" s="981" t="s">
        <v>721</v>
      </c>
      <c r="C66" s="859"/>
      <c r="D66" s="859"/>
      <c r="E66" s="859"/>
      <c r="F66" s="859"/>
      <c r="G66" s="859"/>
      <c r="H66" s="859"/>
      <c r="I66" s="859"/>
      <c r="J66" s="859"/>
      <c r="K66" s="859"/>
      <c r="L66" s="859"/>
      <c r="M66" s="859"/>
    </row>
    <row r="67" spans="1:13">
      <c r="B67" s="982" t="s">
        <v>700</v>
      </c>
      <c r="C67" s="983" t="s">
        <v>78</v>
      </c>
      <c r="D67" s="984">
        <v>4</v>
      </c>
      <c r="E67" s="985">
        <v>21500</v>
      </c>
      <c r="F67" s="986">
        <f>D67*E67</f>
        <v>86000</v>
      </c>
      <c r="G67" s="987">
        <v>4</v>
      </c>
      <c r="H67" s="987">
        <v>-4</v>
      </c>
      <c r="I67" s="988">
        <f>G67+H67</f>
        <v>0</v>
      </c>
      <c r="J67" s="989">
        <f>I67/D67</f>
        <v>0</v>
      </c>
      <c r="K67" s="990">
        <f>G67*E67</f>
        <v>86000</v>
      </c>
      <c r="L67" s="991">
        <f>H67*E67</f>
        <v>-86000</v>
      </c>
      <c r="M67" s="992">
        <f>K67+L67</f>
        <v>0</v>
      </c>
    </row>
    <row r="68" spans="1:13">
      <c r="B68" s="993"/>
      <c r="C68" s="994"/>
      <c r="D68" s="978"/>
      <c r="E68" s="995"/>
      <c r="F68" s="996"/>
      <c r="G68" s="997"/>
      <c r="H68" s="997"/>
      <c r="I68" s="998"/>
      <c r="J68" s="999"/>
      <c r="K68" s="974">
        <f>SUM(K67)</f>
        <v>86000</v>
      </c>
      <c r="L68" s="1000">
        <f>SUM(L67)</f>
        <v>-86000</v>
      </c>
      <c r="M68" s="1001">
        <f>K68+L68</f>
        <v>0</v>
      </c>
    </row>
    <row r="69" spans="1:13">
      <c r="B69" s="993"/>
      <c r="C69" s="994"/>
      <c r="D69" s="978"/>
      <c r="E69" s="995"/>
      <c r="F69" s="996"/>
      <c r="G69" s="997"/>
      <c r="H69" s="997"/>
      <c r="I69" s="998"/>
      <c r="J69" s="999"/>
      <c r="K69" s="974"/>
      <c r="L69" s="1000"/>
    </row>
    <row r="70" spans="1:13">
      <c r="B70" s="993"/>
      <c r="C70" s="994"/>
      <c r="D70" s="978"/>
      <c r="E70" s="995"/>
      <c r="F70" s="996"/>
      <c r="G70" s="997"/>
      <c r="H70" s="997"/>
      <c r="I70" s="998"/>
      <c r="J70" s="999"/>
      <c r="K70" s="974"/>
      <c r="L70" s="1000"/>
    </row>
    <row r="71" spans="1:13">
      <c r="B71" s="993"/>
      <c r="C71" s="994"/>
      <c r="D71" s="978"/>
      <c r="E71" s="995"/>
      <c r="F71" s="996"/>
      <c r="G71" s="997"/>
      <c r="H71" s="997"/>
      <c r="I71" s="998"/>
      <c r="J71" s="999"/>
      <c r="K71" s="974"/>
      <c r="L71" s="1000"/>
    </row>
    <row r="72" spans="1:13">
      <c r="B72" s="993"/>
      <c r="C72" s="994"/>
      <c r="D72" s="978"/>
      <c r="E72" s="995"/>
      <c r="F72" s="996"/>
      <c r="G72" s="997"/>
      <c r="H72" s="997"/>
      <c r="I72" s="998"/>
      <c r="J72" s="999"/>
      <c r="K72" s="974"/>
      <c r="L72" s="1000"/>
    </row>
    <row r="73" spans="1:13">
      <c r="B73" s="993"/>
      <c r="C73" s="994"/>
      <c r="D73" s="978"/>
      <c r="E73" s="995"/>
      <c r="F73" s="996"/>
      <c r="G73" s="997"/>
      <c r="H73" s="997"/>
      <c r="I73" s="998"/>
      <c r="J73" s="999"/>
      <c r="K73" s="974"/>
      <c r="L73" s="1000"/>
    </row>
    <row r="74" spans="1:13">
      <c r="B74" s="993"/>
      <c r="C74" s="994"/>
      <c r="D74" s="978"/>
      <c r="E74" s="995"/>
      <c r="F74" s="996"/>
      <c r="G74" s="997"/>
      <c r="H74" s="997"/>
      <c r="I74" s="998"/>
      <c r="J74" s="999"/>
      <c r="K74" s="974"/>
      <c r="L74" s="1000"/>
    </row>
    <row r="75" spans="1:13">
      <c r="B75" s="993"/>
      <c r="C75" s="994"/>
      <c r="D75" s="978"/>
      <c r="E75" s="995"/>
      <c r="F75" s="996"/>
      <c r="G75" s="997"/>
      <c r="H75" s="997"/>
      <c r="I75" s="998"/>
      <c r="J75" s="999"/>
      <c r="K75" s="974"/>
      <c r="L75" s="1000"/>
    </row>
    <row r="76" spans="1:13">
      <c r="B76" s="993"/>
      <c r="C76" s="994"/>
      <c r="D76" s="978"/>
      <c r="E76" s="995"/>
      <c r="F76" s="996"/>
      <c r="G76" s="997"/>
      <c r="H76" s="997"/>
      <c r="I76" s="998"/>
      <c r="J76" s="999"/>
      <c r="K76" s="974"/>
      <c r="L76" s="1000"/>
    </row>
    <row r="77" spans="1:13">
      <c r="B77" s="993"/>
      <c r="C77" s="994"/>
      <c r="D77" s="978"/>
      <c r="E77" s="995"/>
      <c r="F77" s="996"/>
      <c r="G77" s="997"/>
      <c r="H77" s="997"/>
      <c r="I77" s="998"/>
      <c r="J77" s="999"/>
      <c r="K77" s="974"/>
      <c r="L77" s="1000"/>
    </row>
    <row r="78" spans="1:13">
      <c r="B78" s="993"/>
      <c r="C78" s="994"/>
      <c r="D78" s="978"/>
      <c r="E78" s="995"/>
      <c r="F78" s="996"/>
      <c r="G78" s="997"/>
      <c r="H78" s="997"/>
      <c r="I78" s="998"/>
      <c r="J78" s="999"/>
      <c r="K78" s="974"/>
      <c r="L78" s="1000"/>
    </row>
    <row r="79" spans="1:13">
      <c r="B79" s="993"/>
      <c r="C79" s="994"/>
      <c r="D79" s="978"/>
      <c r="E79" s="995"/>
      <c r="F79" s="996"/>
      <c r="G79" s="997"/>
      <c r="H79" s="997"/>
      <c r="I79" s="998"/>
      <c r="J79" s="999"/>
      <c r="K79" s="974"/>
      <c r="L79" s="1000"/>
    </row>
    <row r="80" spans="1:13">
      <c r="B80" s="993"/>
      <c r="C80" s="994"/>
      <c r="D80" s="978"/>
      <c r="E80" s="995"/>
      <c r="F80" s="996"/>
      <c r="G80" s="997"/>
      <c r="H80" s="997"/>
      <c r="I80" s="998"/>
      <c r="J80" s="999"/>
      <c r="K80" s="974"/>
      <c r="L80" s="1000"/>
    </row>
    <row r="81" spans="2:12">
      <c r="B81" s="993"/>
      <c r="C81" s="994"/>
      <c r="D81" s="978"/>
      <c r="E81" s="995"/>
      <c r="F81" s="996"/>
      <c r="G81" s="997"/>
      <c r="H81" s="997"/>
      <c r="I81" s="998"/>
      <c r="J81" s="999"/>
      <c r="K81" s="974"/>
      <c r="L81" s="1000"/>
    </row>
    <row r="99" spans="1:13">
      <c r="A99" s="1223" t="s">
        <v>0</v>
      </c>
      <c r="B99" s="1223"/>
      <c r="C99" s="1223"/>
      <c r="D99" s="1223"/>
      <c r="E99" s="1223"/>
      <c r="F99" s="1223"/>
      <c r="G99" s="1223"/>
      <c r="H99" s="1223"/>
      <c r="I99" s="1223"/>
      <c r="J99" s="1223"/>
      <c r="K99" s="1223"/>
      <c r="L99" s="1223"/>
      <c r="M99" s="1223"/>
    </row>
    <row r="100" spans="1:13">
      <c r="A100" s="1228" t="s">
        <v>1</v>
      </c>
      <c r="B100" s="1228"/>
      <c r="C100" s="1228"/>
      <c r="D100" s="1228"/>
      <c r="E100" s="1228"/>
      <c r="F100" s="1228"/>
      <c r="G100" s="1228"/>
      <c r="H100" s="1228"/>
      <c r="I100" s="1228"/>
      <c r="J100" s="1228"/>
      <c r="K100" s="1228"/>
      <c r="L100" s="1228"/>
      <c r="M100" s="1228"/>
    </row>
    <row r="101" spans="1:13">
      <c r="M101" s="1002" t="s">
        <v>562</v>
      </c>
    </row>
    <row r="102" spans="1:13">
      <c r="A102" s="853"/>
      <c r="B102" s="853"/>
      <c r="C102" s="853"/>
      <c r="D102" s="853"/>
      <c r="E102" s="853"/>
      <c r="F102" s="853"/>
      <c r="G102" s="853"/>
      <c r="H102" s="853"/>
      <c r="I102" s="853"/>
      <c r="J102" s="853"/>
      <c r="K102" s="853"/>
      <c r="L102" s="853"/>
      <c r="M102" s="859"/>
    </row>
    <row r="103" spans="1:13">
      <c r="A103" s="859"/>
      <c r="B103" s="856" t="s">
        <v>3</v>
      </c>
      <c r="C103" s="857" t="s">
        <v>680</v>
      </c>
      <c r="D103" s="857"/>
      <c r="E103" s="857"/>
      <c r="F103" s="857"/>
      <c r="G103" s="858"/>
      <c r="H103" s="859"/>
      <c r="I103" s="859"/>
      <c r="J103" s="859"/>
      <c r="K103" s="859"/>
      <c r="L103" s="856" t="s">
        <v>5</v>
      </c>
      <c r="M103" s="1003">
        <v>3650424.4</v>
      </c>
    </row>
    <row r="104" spans="1:13">
      <c r="A104" s="859"/>
      <c r="B104" s="856" t="s">
        <v>7</v>
      </c>
      <c r="C104" s="861">
        <v>2</v>
      </c>
      <c r="D104" s="859"/>
      <c r="E104" s="857"/>
      <c r="F104" s="857"/>
      <c r="G104" s="857"/>
      <c r="H104" s="859"/>
      <c r="I104" s="859"/>
      <c r="J104" s="859"/>
      <c r="K104" s="1229" t="s">
        <v>681</v>
      </c>
      <c r="L104" s="1229"/>
      <c r="M104" s="1003" t="s">
        <v>682</v>
      </c>
    </row>
    <row r="105" spans="1:13">
      <c r="A105" s="859"/>
      <c r="B105" s="856" t="s">
        <v>9</v>
      </c>
      <c r="C105" s="857" t="s">
        <v>722</v>
      </c>
      <c r="D105" s="857"/>
      <c r="E105" s="857"/>
      <c r="F105" s="857"/>
      <c r="G105" s="862"/>
      <c r="H105" s="859"/>
      <c r="I105" s="859"/>
      <c r="J105" s="859"/>
      <c r="K105" s="859"/>
      <c r="L105" s="856" t="s">
        <v>8</v>
      </c>
      <c r="M105" s="1003">
        <v>730084.88</v>
      </c>
    </row>
    <row r="106" spans="1:13">
      <c r="A106" s="859"/>
      <c r="B106" s="856" t="s">
        <v>13</v>
      </c>
      <c r="C106" s="864" t="s">
        <v>685</v>
      </c>
      <c r="D106" s="864"/>
      <c r="E106" s="864"/>
      <c r="F106" s="857"/>
      <c r="G106" s="857"/>
      <c r="H106" s="859"/>
      <c r="I106" s="859"/>
      <c r="J106" s="859"/>
      <c r="K106" s="859"/>
      <c r="L106" s="856" t="s">
        <v>11</v>
      </c>
      <c r="M106" s="1004" t="s">
        <v>684</v>
      </c>
    </row>
    <row r="107" spans="1:13">
      <c r="A107" s="859"/>
      <c r="B107" s="856"/>
      <c r="C107" s="857"/>
      <c r="D107" s="857"/>
      <c r="E107" s="857"/>
      <c r="F107" s="857"/>
      <c r="G107" s="857"/>
      <c r="H107" s="859"/>
      <c r="I107" s="859"/>
      <c r="J107" s="859"/>
      <c r="K107" s="859"/>
      <c r="L107" s="859"/>
      <c r="M107" s="859"/>
    </row>
    <row r="108" spans="1:13">
      <c r="A108" s="859"/>
      <c r="B108" s="856"/>
      <c r="C108" s="857"/>
      <c r="D108" s="857"/>
      <c r="E108" s="857"/>
      <c r="F108" s="857"/>
      <c r="G108" s="857"/>
      <c r="H108" s="859"/>
      <c r="I108" s="859"/>
      <c r="J108" s="859"/>
      <c r="K108" s="859"/>
      <c r="L108" s="859"/>
      <c r="M108" s="859"/>
    </row>
    <row r="109" spans="1:13">
      <c r="A109" s="859"/>
      <c r="B109" s="856"/>
      <c r="C109" s="857"/>
      <c r="D109" s="857"/>
      <c r="E109" s="857"/>
      <c r="F109" s="857"/>
      <c r="G109" s="857"/>
      <c r="H109" s="859"/>
      <c r="I109" s="859"/>
      <c r="J109" s="859"/>
      <c r="K109" s="859"/>
      <c r="L109" s="859"/>
      <c r="M109" s="859"/>
    </row>
    <row r="110" spans="1:13">
      <c r="A110" s="859"/>
      <c r="B110" s="856"/>
      <c r="C110" s="857"/>
      <c r="D110" s="857"/>
      <c r="E110" s="1223" t="s">
        <v>21</v>
      </c>
      <c r="F110" s="1223"/>
      <c r="G110" s="1005"/>
      <c r="H110" s="853" t="s">
        <v>24</v>
      </c>
      <c r="I110" s="1223" t="s">
        <v>25</v>
      </c>
      <c r="J110" s="1223"/>
      <c r="K110" s="853" t="s">
        <v>26</v>
      </c>
      <c r="L110" s="859"/>
      <c r="M110" s="859"/>
    </row>
    <row r="111" spans="1:13">
      <c r="A111" s="859"/>
      <c r="B111" s="861" t="s">
        <v>210</v>
      </c>
      <c r="C111" s="857"/>
      <c r="D111" s="857"/>
      <c r="E111" s="1230">
        <f>F63</f>
        <v>3620260</v>
      </c>
      <c r="F111" s="1230"/>
      <c r="G111" s="857"/>
      <c r="H111" s="1007">
        <f>K63+K68</f>
        <v>1327580</v>
      </c>
      <c r="I111" s="1224">
        <f>L63+L68</f>
        <v>943680</v>
      </c>
      <c r="J111" s="1224"/>
      <c r="K111" s="1006">
        <f>H111+I111</f>
        <v>2271260</v>
      </c>
      <c r="L111" s="853"/>
      <c r="M111" s="857"/>
    </row>
    <row r="112" spans="1:13">
      <c r="A112" s="859"/>
      <c r="B112" s="861" t="s">
        <v>215</v>
      </c>
      <c r="C112" s="857"/>
      <c r="D112" s="857"/>
      <c r="E112" s="857"/>
      <c r="F112" s="857"/>
      <c r="G112" s="857"/>
      <c r="H112" s="859"/>
      <c r="I112" s="859"/>
      <c r="J112" s="859"/>
      <c r="K112" s="859"/>
      <c r="L112" s="1006"/>
    </row>
    <row r="113" spans="1:13">
      <c r="A113" s="859"/>
      <c r="B113" s="861"/>
      <c r="C113" s="857"/>
      <c r="D113" s="857"/>
      <c r="E113" s="857"/>
      <c r="F113" s="857"/>
      <c r="G113" s="857"/>
      <c r="H113" s="859"/>
      <c r="I113" s="859"/>
      <c r="J113" s="859"/>
      <c r="K113" s="859"/>
      <c r="L113" s="859"/>
      <c r="M113" s="859"/>
    </row>
    <row r="114" spans="1:13">
      <c r="A114" s="859"/>
      <c r="B114" s="861" t="s">
        <v>133</v>
      </c>
      <c r="C114" s="857"/>
      <c r="D114" s="857"/>
      <c r="E114" s="857"/>
      <c r="F114" s="857"/>
      <c r="G114" s="857"/>
      <c r="H114" s="859"/>
      <c r="I114" s="859"/>
      <c r="J114" s="859"/>
      <c r="K114" s="859"/>
      <c r="L114" s="859"/>
      <c r="M114" s="859"/>
    </row>
    <row r="115" spans="1:13">
      <c r="A115" s="1009"/>
      <c r="B115" s="857"/>
      <c r="C115" s="1010"/>
      <c r="D115" s="1010"/>
      <c r="F115" s="1008"/>
      <c r="G115" s="1011"/>
      <c r="H115" s="1012"/>
      <c r="I115" s="1012"/>
      <c r="J115" s="859"/>
      <c r="K115" s="1007"/>
      <c r="L115" s="859"/>
      <c r="M115" s="859"/>
    </row>
    <row r="116" spans="1:13">
      <c r="A116" s="1009"/>
      <c r="B116" s="857"/>
      <c r="C116" s="1010"/>
      <c r="D116" s="1013"/>
      <c r="F116" s="1008"/>
      <c r="G116" s="1011"/>
      <c r="H116" s="1012"/>
      <c r="I116" s="1014"/>
      <c r="J116" s="859"/>
      <c r="K116" s="1007"/>
      <c r="L116" s="1008"/>
      <c r="M116" s="1008"/>
    </row>
    <row r="117" spans="1:13">
      <c r="A117" s="1009"/>
      <c r="B117" s="857" t="s">
        <v>136</v>
      </c>
      <c r="C117" s="1010"/>
      <c r="D117" s="1013">
        <v>0.18</v>
      </c>
      <c r="E117" s="1224">
        <f>E111*D117</f>
        <v>651646.79999999993</v>
      </c>
      <c r="F117" s="1224"/>
      <c r="G117" s="1011"/>
      <c r="H117" s="1012">
        <f>H111*D117</f>
        <v>238964.4</v>
      </c>
      <c r="I117" s="1225">
        <f>I111*D117</f>
        <v>169862.39999999999</v>
      </c>
      <c r="J117" s="1225"/>
      <c r="K117" s="1008">
        <f>H117+I117</f>
        <v>408826.8</v>
      </c>
      <c r="L117" s="1008"/>
      <c r="M117" s="1008"/>
    </row>
    <row r="118" spans="1:13">
      <c r="A118" s="1009"/>
      <c r="B118" s="857"/>
      <c r="C118" s="1010"/>
      <c r="D118" s="1016"/>
      <c r="F118" s="1008"/>
      <c r="G118" s="1011"/>
      <c r="H118" s="1012"/>
      <c r="I118" s="1014"/>
      <c r="J118" s="859"/>
      <c r="K118" s="1007"/>
      <c r="L118" s="1008"/>
      <c r="M118" s="1008"/>
    </row>
    <row r="119" spans="1:13">
      <c r="A119" s="1009"/>
      <c r="B119" s="857"/>
      <c r="C119" s="1013"/>
      <c r="D119" s="1017"/>
      <c r="F119" s="1008"/>
      <c r="G119" s="1011"/>
      <c r="H119" s="1007"/>
      <c r="I119" s="1018"/>
      <c r="J119" s="859"/>
      <c r="K119" s="1007"/>
      <c r="L119" s="1008"/>
      <c r="M119" s="1008"/>
    </row>
    <row r="120" spans="1:13">
      <c r="A120" s="1009"/>
      <c r="B120" s="1019" t="s">
        <v>723</v>
      </c>
      <c r="C120" s="1020"/>
      <c r="D120" s="1020"/>
      <c r="E120" s="1226">
        <f>E111+E117</f>
        <v>4271906.8</v>
      </c>
      <c r="F120" s="1226"/>
      <c r="G120" s="1011"/>
      <c r="H120" s="1022"/>
      <c r="I120" s="1023"/>
      <c r="J120" s="1024"/>
      <c r="K120" s="1025"/>
      <c r="L120" s="1008"/>
      <c r="M120" s="1008"/>
    </row>
    <row r="121" spans="1:13">
      <c r="A121" s="1009"/>
      <c r="B121" s="857"/>
      <c r="C121" s="1010"/>
      <c r="D121" s="1010"/>
      <c r="F121" s="1008"/>
      <c r="G121" s="1011"/>
      <c r="H121" s="1007"/>
      <c r="I121" s="1018"/>
      <c r="J121" s="859"/>
      <c r="K121" s="1007"/>
      <c r="L121" s="1026"/>
      <c r="M121" s="1008"/>
    </row>
    <row r="122" spans="1:13">
      <c r="A122" s="1009"/>
      <c r="B122" s="857"/>
      <c r="C122" s="1010"/>
      <c r="D122" s="1010"/>
      <c r="F122" s="1008"/>
      <c r="G122" s="1011"/>
      <c r="H122" s="1012"/>
      <c r="I122" s="1012"/>
      <c r="J122" s="1012"/>
      <c r="K122" s="1012"/>
      <c r="L122" s="1008"/>
      <c r="M122" s="1008"/>
    </row>
    <row r="123" spans="1:13">
      <c r="A123" s="1009"/>
      <c r="B123" s="857"/>
      <c r="C123" s="1010"/>
      <c r="D123" s="1027"/>
      <c r="F123" s="1008"/>
      <c r="G123" s="1011"/>
      <c r="H123" s="1012"/>
      <c r="I123" s="1012"/>
      <c r="J123" s="1012"/>
      <c r="K123" s="1012"/>
      <c r="L123" s="1012"/>
      <c r="M123" s="1028"/>
    </row>
    <row r="124" spans="1:13">
      <c r="A124" s="1009"/>
      <c r="L124" s="1012"/>
      <c r="M124" s="1028"/>
    </row>
    <row r="125" spans="1:13">
      <c r="A125" s="1009"/>
      <c r="B125" s="857"/>
      <c r="C125" s="1013"/>
      <c r="D125" s="853"/>
      <c r="F125" s="1029"/>
      <c r="G125" s="1011"/>
      <c r="H125" s="1030"/>
      <c r="I125" s="1023"/>
      <c r="J125" s="1024"/>
      <c r="K125" s="1031"/>
      <c r="M125" s="1021"/>
    </row>
    <row r="126" spans="1:13">
      <c r="A126" s="1009"/>
      <c r="B126" s="1032" t="s">
        <v>143</v>
      </c>
      <c r="C126" s="1033"/>
      <c r="D126" s="1034"/>
      <c r="F126" s="1021"/>
      <c r="G126" s="1011"/>
      <c r="H126" s="1007">
        <f>H111+H117</f>
        <v>1566544.4</v>
      </c>
      <c r="I126" s="1225">
        <f>I111+I117</f>
        <v>1113542.3999999999</v>
      </c>
      <c r="J126" s="1225"/>
      <c r="K126" s="1035">
        <f>H126+I126</f>
        <v>2680086.7999999998</v>
      </c>
      <c r="L126" s="1030"/>
      <c r="M126" s="1036"/>
    </row>
    <row r="127" spans="1:13">
      <c r="A127" s="1009"/>
      <c r="B127" s="859"/>
      <c r="C127" s="1037"/>
      <c r="D127" s="1002"/>
      <c r="E127" s="1038"/>
      <c r="F127" s="1038"/>
      <c r="G127" s="1038"/>
      <c r="H127" s="1030"/>
      <c r="I127" s="1009"/>
      <c r="J127" s="859"/>
      <c r="K127" s="1002"/>
      <c r="L127" s="1035"/>
      <c r="M127" s="1021"/>
    </row>
    <row r="128" spans="1:13">
      <c r="A128" s="859"/>
      <c r="B128" s="1039" t="s">
        <v>144</v>
      </c>
      <c r="C128" s="859"/>
      <c r="D128" s="859"/>
      <c r="E128" s="859"/>
      <c r="F128" s="859"/>
      <c r="G128" s="859"/>
      <c r="H128" s="1040"/>
      <c r="I128" s="857"/>
      <c r="J128" s="857"/>
      <c r="K128" s="859"/>
      <c r="L128" s="1030"/>
      <c r="M128" s="1038"/>
    </row>
    <row r="129" spans="1:13">
      <c r="A129" s="859"/>
      <c r="B129" s="861" t="s">
        <v>145</v>
      </c>
      <c r="C129" s="1002"/>
      <c r="D129" s="1017">
        <v>0.2</v>
      </c>
      <c r="E129" s="1002"/>
      <c r="F129" s="1002"/>
      <c r="G129" s="1002"/>
      <c r="H129" s="1041">
        <f>H126*D129</f>
        <v>313308.88</v>
      </c>
      <c r="I129" s="1227">
        <f>I126*D129</f>
        <v>222708.47999999998</v>
      </c>
      <c r="J129" s="1227"/>
      <c r="K129" s="1015">
        <f>H129+I129</f>
        <v>536017.36</v>
      </c>
      <c r="L129" s="1040"/>
      <c r="M129" s="859"/>
    </row>
    <row r="130" spans="1:13">
      <c r="A130" s="859"/>
      <c r="B130" s="861"/>
      <c r="C130" s="859"/>
      <c r="D130" s="1010"/>
      <c r="E130" s="859"/>
      <c r="F130" s="859"/>
      <c r="G130" s="859"/>
      <c r="H130" s="1042"/>
      <c r="I130" s="1024"/>
      <c r="J130" s="1024"/>
      <c r="K130" s="1043"/>
      <c r="L130" s="974"/>
      <c r="M130" s="1044"/>
    </row>
    <row r="131" spans="1:13">
      <c r="A131" s="859"/>
      <c r="H131" s="1045"/>
      <c r="I131" s="1045"/>
      <c r="J131" s="1045"/>
      <c r="K131" s="1045"/>
      <c r="L131" s="1015"/>
      <c r="M131" s="1044"/>
    </row>
    <row r="132" spans="1:13">
      <c r="A132" s="859"/>
      <c r="B132" s="1002"/>
      <c r="C132" s="1002"/>
      <c r="D132" s="1002"/>
      <c r="E132" s="1002"/>
      <c r="F132" s="1002"/>
      <c r="G132" s="1002"/>
      <c r="H132" s="1046"/>
      <c r="I132" s="1024"/>
      <c r="J132" s="1031"/>
      <c r="K132" s="1025"/>
      <c r="M132" s="1047"/>
    </row>
    <row r="133" spans="1:13">
      <c r="A133" s="859"/>
      <c r="B133" s="1002"/>
      <c r="C133" s="1002"/>
      <c r="D133" s="1002"/>
      <c r="E133" s="1002"/>
      <c r="F133" s="1002"/>
      <c r="G133" s="1002"/>
      <c r="H133" s="1048"/>
      <c r="I133" s="1024"/>
      <c r="J133" s="1031"/>
      <c r="K133" s="1043"/>
      <c r="L133" s="1049"/>
      <c r="M133" s="1050"/>
    </row>
    <row r="134" spans="1:13">
      <c r="A134" s="859"/>
      <c r="B134" s="861" t="s">
        <v>235</v>
      </c>
      <c r="C134" s="1002"/>
      <c r="D134" s="1002"/>
      <c r="E134" s="1002"/>
      <c r="F134" s="1002"/>
      <c r="G134" s="1002"/>
      <c r="H134" s="1007">
        <f>H126-H129</f>
        <v>1253235.52</v>
      </c>
      <c r="I134" s="1227">
        <f>I126-I129</f>
        <v>890833.91999999993</v>
      </c>
      <c r="J134" s="1227"/>
      <c r="K134" s="1015">
        <f>H134+I134</f>
        <v>2144069.44</v>
      </c>
      <c r="L134" s="1051"/>
      <c r="M134" s="1050"/>
    </row>
    <row r="135" spans="1:13">
      <c r="A135" s="859"/>
      <c r="B135" s="861"/>
      <c r="C135" s="1002"/>
      <c r="D135" s="1002"/>
      <c r="E135" s="1002"/>
      <c r="F135" s="1002"/>
      <c r="G135" s="1002"/>
      <c r="H135" s="1042"/>
      <c r="I135" s="1052"/>
      <c r="J135" s="1052"/>
      <c r="K135" s="1043"/>
      <c r="L135" s="1051"/>
      <c r="M135" s="1050"/>
    </row>
    <row r="136" spans="1:13">
      <c r="A136" s="859"/>
      <c r="B136" s="861"/>
      <c r="C136" s="1002"/>
      <c r="D136" s="1002"/>
      <c r="E136" s="1002"/>
      <c r="F136" s="1002"/>
      <c r="G136" s="1002"/>
      <c r="H136" s="1042"/>
      <c r="I136" s="1052"/>
      <c r="J136" s="1052"/>
      <c r="K136" s="1043"/>
      <c r="L136" s="1051"/>
      <c r="M136" s="1050"/>
    </row>
    <row r="137" spans="1:13">
      <c r="A137" s="859"/>
      <c r="B137" s="861"/>
      <c r="C137" s="1002"/>
      <c r="D137" s="1002"/>
      <c r="E137" s="1002"/>
      <c r="F137" s="1002"/>
      <c r="G137" s="1002"/>
      <c r="H137" s="1053"/>
      <c r="I137" s="1054"/>
      <c r="J137" s="1054"/>
      <c r="K137" s="974"/>
      <c r="L137" s="1051"/>
      <c r="M137" s="1050"/>
    </row>
    <row r="138" spans="1:13">
      <c r="A138" s="859"/>
      <c r="B138" s="861"/>
      <c r="C138" s="1002"/>
      <c r="D138" s="1002"/>
      <c r="E138" s="1002"/>
      <c r="F138" s="1002"/>
      <c r="G138" s="1002"/>
      <c r="H138" s="1055"/>
      <c r="I138" s="859"/>
      <c r="J138" s="1002"/>
      <c r="K138" s="1002"/>
      <c r="L138" s="974"/>
      <c r="M138" s="1050"/>
    </row>
    <row r="139" spans="1:13">
      <c r="A139" s="853"/>
      <c r="B139" s="853" t="s">
        <v>147</v>
      </c>
      <c r="C139" s="853"/>
      <c r="D139" s="853" t="s">
        <v>148</v>
      </c>
      <c r="E139" s="853"/>
      <c r="F139" s="853"/>
      <c r="G139" s="1223" t="s">
        <v>13</v>
      </c>
      <c r="H139" s="1223"/>
      <c r="I139" s="853"/>
      <c r="J139" s="853"/>
      <c r="K139" s="853" t="s">
        <v>149</v>
      </c>
      <c r="L139" s="1002"/>
      <c r="M139" s="1056"/>
    </row>
    <row r="140" spans="1:13">
      <c r="A140" s="853"/>
      <c r="B140" s="1223"/>
      <c r="C140" s="1223"/>
      <c r="D140" s="1223"/>
      <c r="E140" s="1223"/>
      <c r="F140" s="853"/>
      <c r="G140" s="1223"/>
      <c r="H140" s="1223"/>
      <c r="I140" s="1223"/>
      <c r="J140" s="1223"/>
      <c r="K140" s="1223"/>
      <c r="L140" s="1223"/>
      <c r="M140" s="1056"/>
    </row>
    <row r="141" spans="1:13">
      <c r="A141" s="853"/>
      <c r="B141" s="1223"/>
      <c r="C141" s="1223"/>
      <c r="D141" s="1223"/>
      <c r="E141" s="1223"/>
      <c r="F141" s="853"/>
      <c r="G141" s="1223"/>
      <c r="H141" s="1223"/>
      <c r="I141" s="1223"/>
      <c r="J141" s="1223"/>
      <c r="K141" s="1223"/>
      <c r="L141" s="1223"/>
      <c r="M141" s="853"/>
    </row>
    <row r="142" spans="1:13">
      <c r="B142" s="853" t="s">
        <v>150</v>
      </c>
      <c r="C142" s="853"/>
      <c r="D142" s="853" t="s">
        <v>151</v>
      </c>
      <c r="E142" s="853"/>
      <c r="F142" s="853"/>
      <c r="G142" s="857" t="s">
        <v>724</v>
      </c>
      <c r="H142" s="857"/>
      <c r="I142" s="857"/>
      <c r="J142" s="853"/>
      <c r="K142" s="1056" t="s">
        <v>725</v>
      </c>
      <c r="L142" s="853"/>
      <c r="M142" s="853"/>
    </row>
    <row r="143" spans="1:13">
      <c r="B143" s="853" t="s">
        <v>154</v>
      </c>
      <c r="C143" s="853"/>
      <c r="D143" s="853" t="s">
        <v>155</v>
      </c>
      <c r="E143" s="853"/>
      <c r="F143" s="853"/>
      <c r="G143" s="853"/>
      <c r="I143" s="853"/>
      <c r="J143" s="853"/>
      <c r="K143" s="853" t="s">
        <v>219</v>
      </c>
      <c r="L143" s="1056"/>
    </row>
    <row r="144" spans="1:13">
      <c r="A144" s="859"/>
      <c r="B144" s="859"/>
      <c r="C144" s="859"/>
      <c r="D144" s="859"/>
      <c r="E144" s="859"/>
      <c r="F144" s="859"/>
      <c r="G144" s="859"/>
      <c r="H144" s="859"/>
      <c r="I144" s="859"/>
      <c r="J144" s="859"/>
      <c r="K144" s="859"/>
      <c r="L144" s="853"/>
      <c r="M144" s="1002"/>
    </row>
    <row r="145" spans="2:13">
      <c r="L145" s="859"/>
      <c r="M145" s="1056"/>
    </row>
    <row r="146" spans="2:13">
      <c r="M146" s="859"/>
    </row>
    <row r="148" spans="2:13">
      <c r="B148" s="1057"/>
    </row>
    <row r="150" spans="2:13">
      <c r="B150" s="1058"/>
      <c r="C150" s="1002"/>
      <c r="D150" s="1059"/>
      <c r="E150" s="1059"/>
    </row>
    <row r="151" spans="2:13">
      <c r="B151" s="1060"/>
      <c r="C151" s="1002"/>
      <c r="D151" s="1059"/>
      <c r="E151" s="1059"/>
    </row>
  </sheetData>
  <mergeCells count="24">
    <mergeCell ref="A1:M1"/>
    <mergeCell ref="A2:M2"/>
    <mergeCell ref="K6:L6"/>
    <mergeCell ref="A11:F11"/>
    <mergeCell ref="G11:J11"/>
    <mergeCell ref="K11:M11"/>
    <mergeCell ref="I134:J134"/>
    <mergeCell ref="A99:M99"/>
    <mergeCell ref="A100:M100"/>
    <mergeCell ref="K104:L104"/>
    <mergeCell ref="E110:F110"/>
    <mergeCell ref="I110:J110"/>
    <mergeCell ref="E111:F111"/>
    <mergeCell ref="I111:J111"/>
    <mergeCell ref="E117:F117"/>
    <mergeCell ref="I117:J117"/>
    <mergeCell ref="E120:F120"/>
    <mergeCell ref="I126:J126"/>
    <mergeCell ref="I129:J129"/>
    <mergeCell ref="G139:H139"/>
    <mergeCell ref="B140:B141"/>
    <mergeCell ref="C140:E141"/>
    <mergeCell ref="G140:I141"/>
    <mergeCell ref="J140:L141"/>
  </mergeCells>
  <pageMargins left="0.70866141732283472" right="0.70866141732283472" top="0.74803149606299213" bottom="0.74803149606299213" header="0.31496062992125984" footer="0.31496062992125984"/>
  <pageSetup paperSize="5" scale="80" orientation="landscape" horizontalDpi="0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9ABD6D-CD41-42E3-99F8-93BEC3413F1B}">
  <dimension ref="A1:N136"/>
  <sheetViews>
    <sheetView tabSelected="1" topLeftCell="A81" zoomScaleNormal="100" workbookViewId="0">
      <selection activeCell="K124" sqref="K124"/>
    </sheetView>
  </sheetViews>
  <sheetFormatPr baseColWidth="10" defaultRowHeight="15"/>
  <cols>
    <col min="2" max="2" width="40" customWidth="1"/>
    <col min="4" max="4" width="13" customWidth="1"/>
    <col min="6" max="6" width="16.28515625" customWidth="1"/>
    <col min="8" max="8" width="11.7109375" customWidth="1"/>
    <col min="10" max="10" width="8.140625" bestFit="1" customWidth="1"/>
    <col min="11" max="11" width="15" customWidth="1"/>
    <col min="12" max="12" width="13.7109375" customWidth="1"/>
    <col min="13" max="13" width="16.7109375" customWidth="1"/>
  </cols>
  <sheetData>
    <row r="1" spans="1:14">
      <c r="A1" s="1111" t="s">
        <v>0</v>
      </c>
      <c r="B1" s="1111"/>
      <c r="C1" s="1111"/>
      <c r="D1" s="1111"/>
      <c r="E1" s="1111"/>
      <c r="F1" s="1111"/>
      <c r="G1" s="1111"/>
      <c r="H1" s="1111"/>
      <c r="I1" s="1111"/>
      <c r="J1" s="1111"/>
      <c r="K1" s="1111"/>
      <c r="L1" s="1111"/>
      <c r="M1" s="1111"/>
    </row>
    <row r="2" spans="1:14">
      <c r="A2" s="1121" t="s">
        <v>1</v>
      </c>
      <c r="B2" s="1121"/>
      <c r="C2" s="1121"/>
      <c r="D2" s="1121"/>
      <c r="E2" s="1121"/>
      <c r="F2" s="1121"/>
      <c r="G2" s="1121"/>
      <c r="H2" s="1121"/>
      <c r="I2" s="1121"/>
      <c r="J2" s="1121"/>
      <c r="K2" s="1121"/>
      <c r="L2" s="1121"/>
      <c r="M2" s="1121"/>
    </row>
    <row r="3" spans="1:14">
      <c r="A3" s="2"/>
      <c r="C3" s="2"/>
      <c r="D3" s="2"/>
      <c r="E3" s="2"/>
      <c r="F3" s="2"/>
      <c r="G3" s="2"/>
      <c r="H3" s="2"/>
      <c r="I3" s="2"/>
      <c r="J3" s="2"/>
      <c r="K3" s="2"/>
      <c r="L3" s="2"/>
      <c r="M3" s="3" t="s">
        <v>221</v>
      </c>
      <c r="N3" s="1061"/>
    </row>
    <row r="4" spans="1:14" ht="15" customHeight="1">
      <c r="A4" s="4"/>
      <c r="B4" s="5" t="s">
        <v>3</v>
      </c>
      <c r="C4" s="6" t="s">
        <v>726</v>
      </c>
      <c r="D4" s="422"/>
      <c r="E4" s="422"/>
      <c r="F4" s="422"/>
      <c r="G4" s="422"/>
      <c r="H4" s="422"/>
      <c r="I4" s="422"/>
      <c r="J4" s="4"/>
      <c r="K4" s="4"/>
      <c r="L4" s="5" t="s">
        <v>5</v>
      </c>
      <c r="M4" s="8">
        <v>5635142.9100000001</v>
      </c>
      <c r="N4" s="1062"/>
    </row>
    <row r="5" spans="1:14">
      <c r="A5" s="4"/>
      <c r="B5" s="5" t="s">
        <v>7</v>
      </c>
      <c r="C5" s="9" t="s">
        <v>727</v>
      </c>
      <c r="D5" s="4"/>
      <c r="E5" s="6"/>
      <c r="F5" s="6"/>
      <c r="G5" s="6"/>
      <c r="H5" s="4"/>
      <c r="I5" s="4"/>
      <c r="J5" s="4"/>
      <c r="K5" s="4"/>
      <c r="L5" s="5" t="s">
        <v>8</v>
      </c>
      <c r="M5" s="8">
        <v>1127028.58</v>
      </c>
      <c r="N5" s="1062"/>
    </row>
    <row r="6" spans="1:14">
      <c r="A6" s="4"/>
      <c r="B6" s="5" t="s">
        <v>9</v>
      </c>
      <c r="C6" s="6" t="s">
        <v>728</v>
      </c>
      <c r="D6" s="6"/>
      <c r="E6" s="6"/>
      <c r="F6" s="6" t="s">
        <v>161</v>
      </c>
      <c r="G6" s="10"/>
      <c r="H6" s="4"/>
      <c r="I6" s="4"/>
      <c r="J6" s="4"/>
      <c r="K6" s="4"/>
      <c r="L6" s="5" t="s">
        <v>11</v>
      </c>
      <c r="M6" s="11" t="s">
        <v>729</v>
      </c>
      <c r="N6" s="1062"/>
    </row>
    <row r="7" spans="1:14">
      <c r="A7" s="4"/>
      <c r="B7" s="5" t="s">
        <v>13</v>
      </c>
      <c r="C7" s="6" t="s">
        <v>730</v>
      </c>
      <c r="D7" s="6"/>
      <c r="E7" s="6"/>
      <c r="F7" s="6"/>
      <c r="H7" s="4"/>
      <c r="I7" s="4"/>
      <c r="J7" s="4"/>
      <c r="K7" s="4"/>
      <c r="L7" s="4"/>
      <c r="M7" s="4"/>
      <c r="N7" s="668"/>
    </row>
    <row r="8" spans="1:14">
      <c r="A8" s="1185" t="s">
        <v>164</v>
      </c>
      <c r="B8" s="1185"/>
      <c r="C8" s="1185"/>
      <c r="D8" s="1185"/>
      <c r="E8" s="1185"/>
      <c r="F8" s="1185"/>
      <c r="G8" s="1177" t="s">
        <v>16</v>
      </c>
      <c r="H8" s="1177"/>
      <c r="I8" s="1177"/>
      <c r="J8" s="1177"/>
      <c r="K8" s="1178" t="s">
        <v>17</v>
      </c>
      <c r="L8" s="1178"/>
      <c r="M8" s="1178"/>
    </row>
    <row r="9" spans="1:14">
      <c r="A9" s="120" t="s">
        <v>18</v>
      </c>
      <c r="B9" s="121" t="s">
        <v>19</v>
      </c>
      <c r="C9" s="121" t="s">
        <v>20</v>
      </c>
      <c r="D9" s="121" t="s">
        <v>165</v>
      </c>
      <c r="E9" s="122" t="s">
        <v>22</v>
      </c>
      <c r="F9" s="122" t="s">
        <v>23</v>
      </c>
      <c r="G9" s="123" t="s">
        <v>24</v>
      </c>
      <c r="H9" s="123" t="s">
        <v>25</v>
      </c>
      <c r="I9" s="124" t="s">
        <v>26</v>
      </c>
      <c r="J9" s="125" t="s">
        <v>27</v>
      </c>
      <c r="K9" s="126" t="s">
        <v>24</v>
      </c>
      <c r="L9" s="127" t="s">
        <v>25</v>
      </c>
      <c r="M9" s="127" t="s">
        <v>26</v>
      </c>
      <c r="N9" s="1063"/>
    </row>
    <row r="10" spans="1:14">
      <c r="A10" s="1064">
        <v>1</v>
      </c>
      <c r="B10" s="23" t="s">
        <v>166</v>
      </c>
      <c r="C10" s="24"/>
      <c r="D10" s="25"/>
      <c r="E10" s="559"/>
      <c r="F10" s="559"/>
      <c r="G10" s="560"/>
      <c r="H10" s="560"/>
      <c r="I10" s="339"/>
      <c r="J10" s="340"/>
      <c r="K10" s="562"/>
      <c r="L10" s="563"/>
      <c r="M10" s="563"/>
      <c r="N10" s="1065"/>
    </row>
    <row r="11" spans="1:14">
      <c r="A11" s="67">
        <v>1.01</v>
      </c>
      <c r="B11" s="66" t="s">
        <v>167</v>
      </c>
      <c r="C11" s="25" t="s">
        <v>30</v>
      </c>
      <c r="D11" s="559">
        <v>500</v>
      </c>
      <c r="E11" s="1066">
        <v>70</v>
      </c>
      <c r="F11" s="1066">
        <f>D11*E11</f>
        <v>35000</v>
      </c>
      <c r="G11" s="560"/>
      <c r="H11" s="560">
        <v>500</v>
      </c>
      <c r="I11" s="349">
        <f>G11+H11</f>
        <v>500</v>
      </c>
      <c r="J11" s="1067">
        <f>I11/D11*100</f>
        <v>100</v>
      </c>
      <c r="K11" s="567"/>
      <c r="L11" s="567">
        <f>H11*E11</f>
        <v>35000</v>
      </c>
      <c r="M11" s="563">
        <f>K11+L11</f>
        <v>35000</v>
      </c>
      <c r="N11" s="238"/>
    </row>
    <row r="12" spans="1:14" ht="15.75" customHeight="1">
      <c r="A12" s="67"/>
      <c r="B12" s="452" t="s">
        <v>168</v>
      </c>
      <c r="C12" s="25"/>
      <c r="D12" s="559"/>
      <c r="E12" s="1066"/>
      <c r="F12" s="1068">
        <f>F11</f>
        <v>35000</v>
      </c>
      <c r="G12" s="560"/>
      <c r="H12" s="560"/>
      <c r="I12" s="349"/>
      <c r="J12" s="1067"/>
      <c r="K12" s="570"/>
      <c r="L12" s="570">
        <f>SUM(L11)</f>
        <v>35000</v>
      </c>
      <c r="M12" s="571">
        <f>K12+L12</f>
        <v>35000</v>
      </c>
      <c r="N12" s="238"/>
    </row>
    <row r="13" spans="1:14">
      <c r="A13" s="67">
        <v>2</v>
      </c>
      <c r="B13" s="382" t="s">
        <v>169</v>
      </c>
      <c r="C13" s="25"/>
      <c r="D13" s="559"/>
      <c r="E13" s="1066"/>
      <c r="F13" s="1066"/>
      <c r="G13" s="560"/>
      <c r="H13" s="560"/>
      <c r="I13" s="349"/>
      <c r="J13" s="1067"/>
      <c r="K13" s="570"/>
      <c r="L13" s="568"/>
      <c r="M13" s="563"/>
      <c r="N13" s="238"/>
    </row>
    <row r="14" spans="1:14">
      <c r="A14" s="67">
        <v>2.0099999999999998</v>
      </c>
      <c r="B14" s="66" t="s">
        <v>35</v>
      </c>
      <c r="C14" s="25" t="s">
        <v>36</v>
      </c>
      <c r="D14" s="559">
        <v>840</v>
      </c>
      <c r="E14" s="559">
        <v>192</v>
      </c>
      <c r="F14" s="1066">
        <f>D14*E14</f>
        <v>161280</v>
      </c>
      <c r="G14" s="560">
        <v>840</v>
      </c>
      <c r="H14" s="560"/>
      <c r="I14" s="349">
        <f>G14+H14</f>
        <v>840</v>
      </c>
      <c r="J14" s="1067">
        <f t="shared" ref="J14:J18" si="0">I14/D14*100</f>
        <v>100</v>
      </c>
      <c r="K14" s="567">
        <f>G14*E14</f>
        <v>161280</v>
      </c>
      <c r="L14" s="568"/>
      <c r="M14" s="563">
        <f t="shared" ref="M14:M46" si="1">K14+L14</f>
        <v>161280</v>
      </c>
      <c r="N14" s="238"/>
    </row>
    <row r="15" spans="1:14">
      <c r="A15" s="67">
        <v>2.02</v>
      </c>
      <c r="B15" s="66" t="s">
        <v>731</v>
      </c>
      <c r="C15" s="25" t="s">
        <v>36</v>
      </c>
      <c r="D15" s="559">
        <v>40</v>
      </c>
      <c r="E15" s="559">
        <v>1450</v>
      </c>
      <c r="F15" s="1066">
        <f>D15*E15</f>
        <v>58000</v>
      </c>
      <c r="G15" s="560"/>
      <c r="H15" s="560">
        <v>40</v>
      </c>
      <c r="I15" s="349">
        <f>G15+H15</f>
        <v>40</v>
      </c>
      <c r="J15" s="1067">
        <f t="shared" si="0"/>
        <v>100</v>
      </c>
      <c r="K15" s="567"/>
      <c r="L15" s="568">
        <f>H15*E15</f>
        <v>58000</v>
      </c>
      <c r="M15" s="563">
        <f t="shared" si="1"/>
        <v>58000</v>
      </c>
      <c r="N15" s="238"/>
    </row>
    <row r="16" spans="1:14" ht="27.75" customHeight="1">
      <c r="A16" s="65">
        <v>2.0299999999999998</v>
      </c>
      <c r="B16" s="66" t="s">
        <v>172</v>
      </c>
      <c r="C16" s="25" t="s">
        <v>36</v>
      </c>
      <c r="D16" s="559">
        <v>250.8</v>
      </c>
      <c r="E16" s="559">
        <v>717</v>
      </c>
      <c r="F16" s="1066">
        <f>D16*E16</f>
        <v>179823.6</v>
      </c>
      <c r="G16" s="560"/>
      <c r="H16" s="560">
        <v>250.8</v>
      </c>
      <c r="I16" s="349">
        <f>G16+H16</f>
        <v>250.8</v>
      </c>
      <c r="J16" s="1067">
        <f t="shared" si="0"/>
        <v>100</v>
      </c>
      <c r="K16" s="567"/>
      <c r="L16" s="568">
        <f>H16*E16</f>
        <v>179823.6</v>
      </c>
      <c r="M16" s="563">
        <f t="shared" si="1"/>
        <v>179823.6</v>
      </c>
      <c r="N16" s="238"/>
    </row>
    <row r="17" spans="1:14" ht="24.75">
      <c r="A17" s="67">
        <v>2.04</v>
      </c>
      <c r="B17" s="66" t="s">
        <v>173</v>
      </c>
      <c r="C17" s="25" t="s">
        <v>36</v>
      </c>
      <c r="D17" s="559">
        <v>386.4</v>
      </c>
      <c r="E17" s="559">
        <v>140.09</v>
      </c>
      <c r="F17" s="1066">
        <f>D17*E17</f>
        <v>54130.775999999998</v>
      </c>
      <c r="G17" s="560"/>
      <c r="H17" s="560">
        <v>386.4</v>
      </c>
      <c r="I17" s="349">
        <f>G17+H17</f>
        <v>386.4</v>
      </c>
      <c r="J17" s="1067">
        <f t="shared" si="0"/>
        <v>100</v>
      </c>
      <c r="K17" s="567"/>
      <c r="L17" s="568">
        <f>H17*E17</f>
        <v>54130.775999999998</v>
      </c>
      <c r="M17" s="563">
        <f t="shared" si="1"/>
        <v>54130.775999999998</v>
      </c>
      <c r="N17" s="238"/>
    </row>
    <row r="18" spans="1:14">
      <c r="A18" s="67">
        <v>2.0499999999999998</v>
      </c>
      <c r="B18" s="66" t="s">
        <v>50</v>
      </c>
      <c r="C18" s="25" t="s">
        <v>36</v>
      </c>
      <c r="D18" s="559">
        <v>568.6</v>
      </c>
      <c r="E18" s="559">
        <v>490.2</v>
      </c>
      <c r="F18" s="1066">
        <f>D18*E18</f>
        <v>278727.72000000003</v>
      </c>
      <c r="G18" s="560">
        <v>568.6</v>
      </c>
      <c r="H18" s="560"/>
      <c r="I18" s="349">
        <f>G18+H18</f>
        <v>568.6</v>
      </c>
      <c r="J18" s="1067">
        <f t="shared" si="0"/>
        <v>100</v>
      </c>
      <c r="K18" s="567">
        <f>G18*E18</f>
        <v>278727.72000000003</v>
      </c>
      <c r="L18" s="568"/>
      <c r="M18" s="563">
        <f t="shared" si="1"/>
        <v>278727.72000000003</v>
      </c>
      <c r="N18" s="238"/>
    </row>
    <row r="19" spans="1:14">
      <c r="A19" s="557"/>
      <c r="B19" s="372" t="s">
        <v>174</v>
      </c>
      <c r="C19" s="25"/>
      <c r="D19" s="559"/>
      <c r="E19" s="559"/>
      <c r="F19" s="1069">
        <f>SUM(F14:F18)</f>
        <v>731962.09600000002</v>
      </c>
      <c r="G19" s="560"/>
      <c r="H19" s="560"/>
      <c r="I19" s="349"/>
      <c r="J19" s="1067"/>
      <c r="K19" s="357">
        <f>SUM(K14:K18)</f>
        <v>440007.72000000003</v>
      </c>
      <c r="L19" s="576">
        <f>SUM(L14:L18)</f>
        <v>291954.37599999999</v>
      </c>
      <c r="M19" s="571">
        <f t="shared" si="1"/>
        <v>731962.09600000002</v>
      </c>
      <c r="N19" s="238"/>
    </row>
    <row r="20" spans="1:14">
      <c r="A20" s="65">
        <v>3</v>
      </c>
      <c r="B20" s="382" t="s">
        <v>175</v>
      </c>
      <c r="C20" s="1070"/>
      <c r="D20" s="559"/>
      <c r="E20" s="559"/>
      <c r="F20" s="1066"/>
      <c r="G20" s="560"/>
      <c r="H20" s="560"/>
      <c r="I20" s="349"/>
      <c r="J20" s="1071"/>
      <c r="K20" s="562"/>
      <c r="L20" s="568"/>
      <c r="M20" s="563"/>
      <c r="N20" s="238"/>
    </row>
    <row r="21" spans="1:14">
      <c r="A21" s="67">
        <v>3.01</v>
      </c>
      <c r="B21" s="523" t="s">
        <v>732</v>
      </c>
      <c r="C21" s="25" t="s">
        <v>30</v>
      </c>
      <c r="D21" s="559">
        <v>500</v>
      </c>
      <c r="E21" s="559">
        <v>8368.65</v>
      </c>
      <c r="F21" s="1066">
        <f t="shared" ref="F21" si="2">D21*E21</f>
        <v>4184325</v>
      </c>
      <c r="G21" s="1072">
        <v>427.021682</v>
      </c>
      <c r="H21" s="560">
        <f>D21-G21</f>
        <v>72.978318000000002</v>
      </c>
      <c r="I21" s="349">
        <f>G21+H21</f>
        <v>500</v>
      </c>
      <c r="J21" s="1073">
        <f>I21/D21*100</f>
        <v>100</v>
      </c>
      <c r="K21" s="567">
        <f>G21*E21</f>
        <v>3573594.9990693</v>
      </c>
      <c r="L21" s="568">
        <f>H21*E21</f>
        <v>610730.00093069999</v>
      </c>
      <c r="M21" s="563">
        <f t="shared" si="1"/>
        <v>4184325</v>
      </c>
      <c r="N21" s="238"/>
    </row>
    <row r="22" spans="1:14">
      <c r="A22" s="67"/>
      <c r="B22" s="452" t="s">
        <v>733</v>
      </c>
      <c r="C22" s="25"/>
      <c r="D22" s="559"/>
      <c r="E22" s="559"/>
      <c r="F22" s="1069">
        <f>F21</f>
        <v>4184325</v>
      </c>
      <c r="G22" s="560"/>
      <c r="H22" s="560"/>
      <c r="I22" s="349"/>
      <c r="J22" s="1071"/>
      <c r="K22" s="1074">
        <f>SUM(K21)</f>
        <v>3573594.9990693</v>
      </c>
      <c r="L22" s="576">
        <f>SUM(L21)</f>
        <v>610730.00093069999</v>
      </c>
      <c r="M22" s="571">
        <f t="shared" si="1"/>
        <v>4184325</v>
      </c>
      <c r="N22" s="238"/>
    </row>
    <row r="23" spans="1:14" ht="24.75">
      <c r="A23" s="67">
        <v>4</v>
      </c>
      <c r="B23" s="1075" t="s">
        <v>734</v>
      </c>
      <c r="C23" s="449"/>
      <c r="D23" s="1076"/>
      <c r="E23" s="1076"/>
      <c r="F23" s="1077"/>
      <c r="G23" s="560"/>
      <c r="H23" s="560"/>
      <c r="I23" s="349"/>
      <c r="J23" s="1071"/>
      <c r="K23" s="587"/>
      <c r="L23" s="568"/>
      <c r="M23" s="563"/>
      <c r="N23" s="238"/>
    </row>
    <row r="24" spans="1:14" ht="16.5" customHeight="1">
      <c r="A24" s="67">
        <v>4.01</v>
      </c>
      <c r="B24" s="523" t="s">
        <v>735</v>
      </c>
      <c r="C24" s="25" t="s">
        <v>32</v>
      </c>
      <c r="D24" s="559">
        <v>1</v>
      </c>
      <c r="E24" s="559">
        <v>165000</v>
      </c>
      <c r="F24" s="1066">
        <f>D24*E24</f>
        <v>165000</v>
      </c>
      <c r="G24" s="560">
        <v>1</v>
      </c>
      <c r="H24" s="338"/>
      <c r="I24" s="349">
        <f t="shared" ref="I24" si="3">G24+H24</f>
        <v>1</v>
      </c>
      <c r="J24" s="1078">
        <f t="shared" ref="J24" si="4">G24/D24*100</f>
        <v>100</v>
      </c>
      <c r="K24" s="567">
        <f>G24*E24</f>
        <v>165000</v>
      </c>
      <c r="L24" s="568"/>
      <c r="M24" s="563">
        <f t="shared" si="1"/>
        <v>165000</v>
      </c>
      <c r="N24" s="238"/>
    </row>
    <row r="25" spans="1:14" ht="16.5" customHeight="1">
      <c r="A25" s="62">
        <v>4.0199999999999996</v>
      </c>
      <c r="B25" s="452" t="s">
        <v>257</v>
      </c>
      <c r="C25" s="25"/>
      <c r="D25" s="559"/>
      <c r="E25" s="559"/>
      <c r="F25" s="1079">
        <f>SUM(F24)</f>
        <v>165000</v>
      </c>
      <c r="G25" s="560"/>
      <c r="H25" s="338"/>
      <c r="I25" s="349"/>
      <c r="J25" s="1071"/>
      <c r="K25" s="570">
        <f>SUM(K24)</f>
        <v>165000</v>
      </c>
      <c r="L25" s="568"/>
      <c r="M25" s="571">
        <f t="shared" si="1"/>
        <v>165000</v>
      </c>
      <c r="N25" s="238"/>
    </row>
    <row r="26" spans="1:14" ht="16.5" customHeight="1">
      <c r="A26" s="67">
        <v>5</v>
      </c>
      <c r="B26" s="452" t="s">
        <v>521</v>
      </c>
      <c r="C26" s="25"/>
      <c r="D26" s="559"/>
      <c r="E26" s="559"/>
      <c r="F26" s="1066"/>
      <c r="G26" s="560"/>
      <c r="H26" s="338"/>
      <c r="I26" s="349"/>
      <c r="J26" s="1071"/>
      <c r="K26" s="567"/>
      <c r="L26" s="568"/>
      <c r="M26" s="563"/>
      <c r="N26" s="238"/>
    </row>
    <row r="27" spans="1:14" ht="16.5" customHeight="1">
      <c r="A27" s="67">
        <v>5.01</v>
      </c>
      <c r="B27" s="523" t="s">
        <v>293</v>
      </c>
      <c r="C27" s="1070" t="s">
        <v>58</v>
      </c>
      <c r="D27" s="559">
        <v>314</v>
      </c>
      <c r="E27" s="559">
        <v>97.5</v>
      </c>
      <c r="F27" s="1066">
        <v>30615</v>
      </c>
      <c r="G27" s="560">
        <v>235.5</v>
      </c>
      <c r="H27" s="338">
        <v>78.5</v>
      </c>
      <c r="I27" s="349">
        <f t="shared" ref="I27:I28" si="5">G27+H27</f>
        <v>314</v>
      </c>
      <c r="J27" s="1073">
        <f>I27/D27*100</f>
        <v>100</v>
      </c>
      <c r="K27" s="567">
        <f>G27*E27</f>
        <v>22961.25</v>
      </c>
      <c r="L27" s="568">
        <f>H27*E27</f>
        <v>7653.75</v>
      </c>
      <c r="M27" s="563">
        <f t="shared" si="1"/>
        <v>30615</v>
      </c>
      <c r="N27" s="238"/>
    </row>
    <row r="28" spans="1:14" ht="16.5" customHeight="1">
      <c r="A28" s="67">
        <v>5.0199999999999996</v>
      </c>
      <c r="B28" s="523" t="s">
        <v>292</v>
      </c>
      <c r="C28" s="1070" t="s">
        <v>58</v>
      </c>
      <c r="D28" s="559">
        <v>314</v>
      </c>
      <c r="E28" s="559">
        <v>389</v>
      </c>
      <c r="F28" s="1066">
        <v>122146</v>
      </c>
      <c r="G28" s="560">
        <v>235.5</v>
      </c>
      <c r="H28" s="338">
        <v>78.5</v>
      </c>
      <c r="I28" s="349">
        <f t="shared" si="5"/>
        <v>314</v>
      </c>
      <c r="J28" s="1073">
        <f>I28/D28*100</f>
        <v>100</v>
      </c>
      <c r="K28" s="567">
        <f>G28*E28</f>
        <v>91609.5</v>
      </c>
      <c r="L28" s="568">
        <f>H28*E28</f>
        <v>30536.5</v>
      </c>
      <c r="M28" s="563">
        <f t="shared" si="1"/>
        <v>122146</v>
      </c>
      <c r="N28" s="238"/>
    </row>
    <row r="29" spans="1:14" ht="16.5" customHeight="1">
      <c r="A29" s="62">
        <v>5.03</v>
      </c>
      <c r="B29" s="452" t="s">
        <v>736</v>
      </c>
      <c r="C29" s="25"/>
      <c r="D29" s="559"/>
      <c r="E29" s="559"/>
      <c r="F29" s="1079">
        <v>152761</v>
      </c>
      <c r="G29" s="560"/>
      <c r="H29" s="338"/>
      <c r="I29" s="349"/>
      <c r="J29" s="1071"/>
      <c r="K29" s="570">
        <f>SUM(K27:K28)</f>
        <v>114570.75</v>
      </c>
      <c r="L29" s="576">
        <f>SUM(L27:L28)</f>
        <v>38190.25</v>
      </c>
      <c r="M29" s="571">
        <f t="shared" si="1"/>
        <v>152761</v>
      </c>
      <c r="N29" s="238"/>
    </row>
    <row r="30" spans="1:14" ht="16.5" customHeight="1">
      <c r="A30" s="67">
        <v>6</v>
      </c>
      <c r="B30" s="523" t="s">
        <v>737</v>
      </c>
      <c r="C30" s="25"/>
      <c r="D30" s="559"/>
      <c r="E30" s="559"/>
      <c r="F30" s="1066"/>
      <c r="G30" s="560"/>
      <c r="H30" s="338"/>
      <c r="I30" s="349"/>
      <c r="J30" s="1071"/>
      <c r="K30" s="567"/>
      <c r="L30" s="568"/>
      <c r="M30" s="563"/>
      <c r="N30" s="238"/>
    </row>
    <row r="31" spans="1:14" ht="24.75" customHeight="1">
      <c r="A31" s="1080">
        <f>A30+0.01</f>
        <v>6.01</v>
      </c>
      <c r="B31" s="66" t="s">
        <v>738</v>
      </c>
      <c r="C31" s="1070" t="s">
        <v>36</v>
      </c>
      <c r="D31" s="25">
        <v>18.22</v>
      </c>
      <c r="E31" s="559">
        <v>7265.25</v>
      </c>
      <c r="F31" s="1066">
        <v>132372.85499999998</v>
      </c>
      <c r="G31" s="560"/>
      <c r="H31" s="338">
        <f>D31</f>
        <v>18.22</v>
      </c>
      <c r="I31" s="349">
        <f>G31+H31</f>
        <v>18.22</v>
      </c>
      <c r="J31" s="1073">
        <f>I31/D31*100</f>
        <v>100</v>
      </c>
      <c r="K31" s="567"/>
      <c r="L31" s="568">
        <f>H31*E31</f>
        <v>132372.85499999998</v>
      </c>
      <c r="M31" s="563">
        <f t="shared" si="1"/>
        <v>132372.85499999998</v>
      </c>
      <c r="N31" s="238"/>
    </row>
    <row r="32" spans="1:14" ht="25.5" customHeight="1">
      <c r="A32" s="1080">
        <f t="shared" ref="A32:A40" si="6">A31+0.01</f>
        <v>6.02</v>
      </c>
      <c r="B32" s="523" t="s">
        <v>739</v>
      </c>
      <c r="C32" s="1070" t="s">
        <v>78</v>
      </c>
      <c r="D32" s="25">
        <v>2</v>
      </c>
      <c r="E32" s="559">
        <v>78245.23</v>
      </c>
      <c r="F32" s="1066">
        <v>156490.46</v>
      </c>
      <c r="G32" s="560"/>
      <c r="H32" s="338">
        <f t="shared" ref="H32:H39" si="7">D32</f>
        <v>2</v>
      </c>
      <c r="I32" s="349">
        <f t="shared" ref="I32:I39" si="8">G32+H32</f>
        <v>2</v>
      </c>
      <c r="J32" s="1073">
        <f t="shared" ref="J32:J39" si="9">I32/D32*100</f>
        <v>100</v>
      </c>
      <c r="K32" s="567"/>
      <c r="L32" s="568">
        <f t="shared" ref="L32:L39" si="10">H32*E32</f>
        <v>156490.46</v>
      </c>
      <c r="M32" s="563">
        <f t="shared" si="1"/>
        <v>156490.46</v>
      </c>
      <c r="N32" s="238"/>
    </row>
    <row r="33" spans="1:14" ht="24.75">
      <c r="A33" s="1080">
        <f t="shared" si="6"/>
        <v>6.0299999999999994</v>
      </c>
      <c r="B33" s="523" t="s">
        <v>740</v>
      </c>
      <c r="C33" s="1070" t="s">
        <v>78</v>
      </c>
      <c r="D33" s="25">
        <v>2</v>
      </c>
      <c r="E33" s="559">
        <v>47943.75</v>
      </c>
      <c r="F33" s="1066">
        <v>95887.5</v>
      </c>
      <c r="G33" s="560"/>
      <c r="H33" s="338">
        <f t="shared" si="7"/>
        <v>2</v>
      </c>
      <c r="I33" s="349">
        <f t="shared" si="8"/>
        <v>2</v>
      </c>
      <c r="J33" s="1073">
        <f t="shared" si="9"/>
        <v>100</v>
      </c>
      <c r="K33" s="567"/>
      <c r="L33" s="568">
        <f t="shared" si="10"/>
        <v>95887.5</v>
      </c>
      <c r="M33" s="563">
        <f t="shared" si="1"/>
        <v>95887.5</v>
      </c>
      <c r="N33" s="238"/>
    </row>
    <row r="34" spans="1:14" ht="16.5" customHeight="1">
      <c r="A34" s="1080">
        <f t="shared" si="6"/>
        <v>6.0399999999999991</v>
      </c>
      <c r="B34" s="376" t="s">
        <v>741</v>
      </c>
      <c r="C34" s="1070" t="s">
        <v>58</v>
      </c>
      <c r="D34" s="25">
        <v>43.35</v>
      </c>
      <c r="E34" s="559">
        <v>1418.54</v>
      </c>
      <c r="F34" s="1066">
        <v>61493.709000000003</v>
      </c>
      <c r="G34" s="560"/>
      <c r="H34" s="338">
        <f t="shared" si="7"/>
        <v>43.35</v>
      </c>
      <c r="I34" s="349">
        <f t="shared" si="8"/>
        <v>43.35</v>
      </c>
      <c r="J34" s="1073">
        <f t="shared" si="9"/>
        <v>100</v>
      </c>
      <c r="K34" s="567"/>
      <c r="L34" s="568">
        <f t="shared" si="10"/>
        <v>61493.709000000003</v>
      </c>
      <c r="M34" s="563">
        <f t="shared" si="1"/>
        <v>61493.709000000003</v>
      </c>
      <c r="N34" s="238"/>
    </row>
    <row r="35" spans="1:14" ht="16.5" customHeight="1">
      <c r="A35" s="1080">
        <f t="shared" si="6"/>
        <v>6.0499999999999989</v>
      </c>
      <c r="B35" s="523" t="s">
        <v>742</v>
      </c>
      <c r="C35" s="1070" t="s">
        <v>36</v>
      </c>
      <c r="D35" s="25">
        <v>0.57999999999999996</v>
      </c>
      <c r="E35" s="559">
        <v>30803.18</v>
      </c>
      <c r="F35" s="1066">
        <v>17865.844399999998</v>
      </c>
      <c r="G35" s="560"/>
      <c r="H35" s="338">
        <f t="shared" si="7"/>
        <v>0.57999999999999996</v>
      </c>
      <c r="I35" s="349">
        <f t="shared" si="8"/>
        <v>0.57999999999999996</v>
      </c>
      <c r="J35" s="1073">
        <f t="shared" si="9"/>
        <v>100</v>
      </c>
      <c r="K35" s="567"/>
      <c r="L35" s="568">
        <f t="shared" si="10"/>
        <v>17865.844399999998</v>
      </c>
      <c r="M35" s="563">
        <f t="shared" si="1"/>
        <v>17865.844399999998</v>
      </c>
      <c r="N35" s="238"/>
    </row>
    <row r="36" spans="1:14" ht="16.5" customHeight="1">
      <c r="A36" s="1080">
        <f t="shared" si="6"/>
        <v>6.0599999999999987</v>
      </c>
      <c r="B36" s="523" t="s">
        <v>743</v>
      </c>
      <c r="C36" s="1070" t="s">
        <v>36</v>
      </c>
      <c r="D36" s="25">
        <v>0.38</v>
      </c>
      <c r="E36" s="559">
        <v>39951.199999999997</v>
      </c>
      <c r="F36" s="1066">
        <v>15181.455999999998</v>
      </c>
      <c r="G36" s="560"/>
      <c r="H36" s="338">
        <f t="shared" si="7"/>
        <v>0.38</v>
      </c>
      <c r="I36" s="349">
        <f t="shared" si="8"/>
        <v>0.38</v>
      </c>
      <c r="J36" s="1073">
        <f t="shared" si="9"/>
        <v>100</v>
      </c>
      <c r="K36" s="567"/>
      <c r="L36" s="568">
        <f t="shared" si="10"/>
        <v>15181.455999999998</v>
      </c>
      <c r="M36" s="563">
        <f t="shared" si="1"/>
        <v>15181.455999999998</v>
      </c>
      <c r="N36" s="238"/>
    </row>
    <row r="37" spans="1:14" ht="16.5" customHeight="1">
      <c r="A37" s="1080">
        <f t="shared" si="6"/>
        <v>6.0699999999999985</v>
      </c>
      <c r="B37" s="376" t="s">
        <v>744</v>
      </c>
      <c r="C37" s="1070" t="s">
        <v>78</v>
      </c>
      <c r="D37" s="25">
        <v>1</v>
      </c>
      <c r="E37" s="559">
        <v>20000</v>
      </c>
      <c r="F37" s="1066">
        <v>20000</v>
      </c>
      <c r="G37" s="560"/>
      <c r="H37" s="338">
        <f t="shared" si="7"/>
        <v>1</v>
      </c>
      <c r="I37" s="349">
        <f t="shared" si="8"/>
        <v>1</v>
      </c>
      <c r="J37" s="1073">
        <f t="shared" si="9"/>
        <v>100</v>
      </c>
      <c r="K37" s="567"/>
      <c r="L37" s="568">
        <f t="shared" si="10"/>
        <v>20000</v>
      </c>
      <c r="M37" s="563">
        <f t="shared" si="1"/>
        <v>20000</v>
      </c>
      <c r="N37" s="238"/>
    </row>
    <row r="38" spans="1:14" ht="16.5" customHeight="1">
      <c r="A38" s="1080">
        <f t="shared" si="6"/>
        <v>6.0799999999999983</v>
      </c>
      <c r="B38" s="523" t="s">
        <v>745</v>
      </c>
      <c r="C38" s="1070" t="s">
        <v>78</v>
      </c>
      <c r="D38" s="25">
        <v>1</v>
      </c>
      <c r="E38" s="559">
        <v>20200</v>
      </c>
      <c r="F38" s="1066">
        <v>20200</v>
      </c>
      <c r="G38" s="560"/>
      <c r="H38" s="338">
        <f t="shared" si="7"/>
        <v>1</v>
      </c>
      <c r="I38" s="349">
        <f t="shared" si="8"/>
        <v>1</v>
      </c>
      <c r="J38" s="1073">
        <f t="shared" si="9"/>
        <v>100</v>
      </c>
      <c r="K38" s="567"/>
      <c r="L38" s="568">
        <f t="shared" si="10"/>
        <v>20200</v>
      </c>
      <c r="M38" s="563">
        <f t="shared" si="1"/>
        <v>20200</v>
      </c>
      <c r="N38" s="238"/>
    </row>
    <row r="39" spans="1:14" ht="16.5" customHeight="1">
      <c r="A39" s="1080">
        <f t="shared" si="6"/>
        <v>6.0899999999999981</v>
      </c>
      <c r="B39" s="523" t="s">
        <v>746</v>
      </c>
      <c r="C39" s="1070" t="s">
        <v>36</v>
      </c>
      <c r="D39" s="25">
        <v>7.95</v>
      </c>
      <c r="E39" s="559">
        <v>1405</v>
      </c>
      <c r="F39" s="1066">
        <v>11169.75</v>
      </c>
      <c r="G39" s="560"/>
      <c r="H39" s="338">
        <f t="shared" si="7"/>
        <v>7.95</v>
      </c>
      <c r="I39" s="349">
        <f t="shared" si="8"/>
        <v>7.95</v>
      </c>
      <c r="J39" s="1073">
        <f t="shared" si="9"/>
        <v>100</v>
      </c>
      <c r="K39" s="567"/>
      <c r="L39" s="568">
        <f t="shared" si="10"/>
        <v>11169.75</v>
      </c>
      <c r="M39" s="563">
        <f t="shared" si="1"/>
        <v>11169.75</v>
      </c>
      <c r="N39" s="238"/>
    </row>
    <row r="40" spans="1:14" ht="16.5" customHeight="1">
      <c r="A40" s="1080">
        <f t="shared" si="6"/>
        <v>6.0999999999999979</v>
      </c>
      <c r="B40" s="452" t="s">
        <v>257</v>
      </c>
      <c r="C40" s="25"/>
      <c r="D40" s="559"/>
      <c r="E40" s="559"/>
      <c r="F40" s="1079">
        <v>530661.57440000004</v>
      </c>
      <c r="G40" s="560"/>
      <c r="H40" s="338"/>
      <c r="I40" s="349"/>
      <c r="J40" s="1071"/>
      <c r="K40" s="567"/>
      <c r="L40" s="576">
        <f>SUM(L31:L39)</f>
        <v>530661.57440000004</v>
      </c>
      <c r="M40" s="571">
        <f t="shared" si="1"/>
        <v>530661.57440000004</v>
      </c>
      <c r="N40" s="238"/>
    </row>
    <row r="41" spans="1:14" ht="16.5" customHeight="1">
      <c r="A41" s="1080"/>
      <c r="B41" s="1081" t="s">
        <v>211</v>
      </c>
      <c r="C41" s="25"/>
      <c r="D41" s="559"/>
      <c r="E41" s="559"/>
      <c r="F41" s="1079"/>
      <c r="G41" s="560"/>
      <c r="H41" s="338"/>
      <c r="I41" s="349"/>
      <c r="J41" s="1071"/>
      <c r="K41" s="567"/>
      <c r="L41" s="576"/>
      <c r="M41" s="571"/>
      <c r="N41" s="238"/>
    </row>
    <row r="42" spans="1:14" ht="16.5" customHeight="1">
      <c r="A42" s="1080"/>
      <c r="B42" s="1082" t="s">
        <v>747</v>
      </c>
      <c r="C42" s="25"/>
      <c r="D42" s="559"/>
      <c r="E42" s="559"/>
      <c r="F42" s="1079"/>
      <c r="G42" s="560"/>
      <c r="H42" s="338"/>
      <c r="I42" s="349"/>
      <c r="J42" s="1071"/>
      <c r="K42" s="567"/>
      <c r="L42" s="576"/>
      <c r="M42" s="571"/>
      <c r="N42" s="238"/>
    </row>
    <row r="43" spans="1:14" ht="16.5" customHeight="1">
      <c r="A43" s="1080">
        <v>1</v>
      </c>
      <c r="B43" s="452" t="s">
        <v>166</v>
      </c>
      <c r="C43" s="25"/>
      <c r="D43" s="559"/>
      <c r="E43" s="559"/>
      <c r="F43" s="1079"/>
      <c r="G43" s="560"/>
      <c r="H43" s="338"/>
      <c r="I43" s="349"/>
      <c r="J43" s="1071"/>
      <c r="K43" s="567"/>
      <c r="L43" s="576"/>
      <c r="M43" s="571"/>
      <c r="N43" s="238"/>
    </row>
    <row r="44" spans="1:14" ht="13.5" customHeight="1">
      <c r="A44" s="67">
        <v>1.01</v>
      </c>
      <c r="B44" s="523" t="s">
        <v>167</v>
      </c>
      <c r="C44" s="25" t="s">
        <v>30</v>
      </c>
      <c r="D44" s="559">
        <v>500</v>
      </c>
      <c r="E44" s="559">
        <v>236</v>
      </c>
      <c r="F44" s="1066">
        <v>118000</v>
      </c>
      <c r="G44" s="560">
        <v>500</v>
      </c>
      <c r="H44" s="560">
        <v>-500</v>
      </c>
      <c r="I44" s="349">
        <v>0</v>
      </c>
      <c r="J44" s="365">
        <v>0</v>
      </c>
      <c r="K44" s="1083">
        <v>118000</v>
      </c>
      <c r="L44" s="568">
        <v>-118000</v>
      </c>
      <c r="M44" s="1084">
        <v>0</v>
      </c>
      <c r="N44" s="238"/>
    </row>
    <row r="45" spans="1:14">
      <c r="A45" s="67"/>
      <c r="B45" s="452"/>
      <c r="C45" s="25"/>
      <c r="D45" s="25"/>
      <c r="E45" s="25"/>
      <c r="F45" s="1069"/>
      <c r="G45" s="560"/>
      <c r="H45" s="560"/>
      <c r="I45" s="349"/>
      <c r="J45" s="1085"/>
      <c r="K45" s="1074">
        <f>SUM(K44)</f>
        <v>118000</v>
      </c>
      <c r="L45" s="576">
        <f>SUM(L44)</f>
        <v>-118000</v>
      </c>
      <c r="M45" s="1086">
        <f t="shared" si="1"/>
        <v>0</v>
      </c>
      <c r="N45" s="238"/>
    </row>
    <row r="46" spans="1:14">
      <c r="A46" s="67"/>
      <c r="B46" s="63" t="s">
        <v>525</v>
      </c>
      <c r="C46" s="25"/>
      <c r="D46" s="25"/>
      <c r="E46" s="25"/>
      <c r="F46" s="1087">
        <f>F40+F29+F25+F22+F19+F12</f>
        <v>5799709.6704000002</v>
      </c>
      <c r="G46" s="560"/>
      <c r="H46" s="560"/>
      <c r="I46" s="560"/>
      <c r="J46" s="560"/>
      <c r="K46" s="1088">
        <f>K12+K19+K22+K45+K25+K29</f>
        <v>4411173.4690693002</v>
      </c>
      <c r="L46" s="1088">
        <f>L40+L29+L19+L22+L45+L12</f>
        <v>1388536.2013307</v>
      </c>
      <c r="M46" s="1089">
        <f t="shared" si="1"/>
        <v>5799709.6704000002</v>
      </c>
      <c r="N46" s="238"/>
    </row>
    <row r="47" spans="1:14">
      <c r="A47" s="4"/>
      <c r="B47" s="1090"/>
      <c r="C47" s="4"/>
      <c r="D47" s="4"/>
      <c r="E47" s="4"/>
      <c r="F47" s="1091"/>
      <c r="G47" s="4"/>
      <c r="H47" s="4"/>
      <c r="I47" s="4"/>
      <c r="J47" s="4"/>
      <c r="K47" s="421"/>
      <c r="N47" s="238"/>
    </row>
    <row r="48" spans="1:14">
      <c r="A48" s="1092"/>
      <c r="B48" s="101"/>
      <c r="F48" s="1093"/>
      <c r="G48" s="235"/>
      <c r="H48" s="235"/>
      <c r="I48" s="631"/>
      <c r="J48" s="1094"/>
      <c r="K48" s="1095"/>
      <c r="L48" s="1096"/>
      <c r="M48" s="235"/>
      <c r="N48" s="238"/>
    </row>
    <row r="49" spans="1:14">
      <c r="A49" s="1092"/>
      <c r="F49" s="699"/>
      <c r="G49" s="235"/>
      <c r="H49" s="235"/>
      <c r="I49" s="235"/>
      <c r="J49" s="235"/>
      <c r="K49" s="1095"/>
      <c r="L49" s="745"/>
      <c r="M49" s="636"/>
      <c r="N49" s="238"/>
    </row>
    <row r="50" spans="1:14">
      <c r="A50" s="1092"/>
      <c r="F50" s="699"/>
      <c r="G50" s="235"/>
      <c r="H50" s="235"/>
      <c r="I50" s="235"/>
      <c r="J50" s="235"/>
      <c r="K50" s="1095"/>
      <c r="L50" s="745"/>
      <c r="M50" s="636"/>
      <c r="N50" s="238"/>
    </row>
    <row r="51" spans="1:14">
      <c r="A51" s="1092"/>
      <c r="F51" s="699"/>
      <c r="G51" s="235"/>
      <c r="H51" s="235"/>
      <c r="I51" s="235"/>
      <c r="J51" s="235"/>
      <c r="K51" s="1095"/>
      <c r="L51" s="745"/>
      <c r="M51" s="636"/>
      <c r="N51" s="238"/>
    </row>
    <row r="52" spans="1:14">
      <c r="A52" s="1092"/>
      <c r="F52" s="699"/>
      <c r="G52" s="235"/>
      <c r="H52" s="235"/>
      <c r="I52" s="235"/>
      <c r="J52" s="235"/>
      <c r="K52" s="1095"/>
      <c r="L52" s="745"/>
      <c r="M52" s="636"/>
      <c r="N52" s="238"/>
    </row>
    <row r="53" spans="1:14">
      <c r="A53" s="1092"/>
      <c r="F53" s="699"/>
      <c r="G53" s="235"/>
      <c r="H53" s="235"/>
      <c r="I53" s="235"/>
      <c r="J53" s="235"/>
      <c r="K53" s="1095"/>
      <c r="L53" s="745"/>
      <c r="M53" s="636"/>
      <c r="N53" s="238"/>
    </row>
    <row r="54" spans="1:14">
      <c r="A54" s="1092"/>
      <c r="F54" s="699"/>
      <c r="G54" s="235"/>
      <c r="H54" s="235"/>
      <c r="I54" s="235"/>
      <c r="J54" s="235"/>
      <c r="K54" s="1095"/>
      <c r="L54" s="745"/>
      <c r="M54" s="636"/>
      <c r="N54" s="238"/>
    </row>
    <row r="55" spans="1:14">
      <c r="A55" s="1092"/>
      <c r="F55" s="699"/>
      <c r="G55" s="235"/>
      <c r="H55" s="235"/>
      <c r="I55" s="235"/>
      <c r="J55" s="235"/>
      <c r="K55" s="1095"/>
      <c r="L55" s="745"/>
      <c r="M55" s="636"/>
      <c r="N55" s="238"/>
    </row>
    <row r="56" spans="1:14">
      <c r="A56" s="1092"/>
      <c r="F56" s="699"/>
      <c r="G56" s="235"/>
      <c r="H56" s="235"/>
      <c r="I56" s="235"/>
      <c r="J56" s="235"/>
      <c r="K56" s="1095"/>
      <c r="L56" s="745"/>
      <c r="M56" s="636"/>
      <c r="N56" s="238"/>
    </row>
    <row r="57" spans="1:14">
      <c r="A57" s="1092"/>
      <c r="F57" s="699"/>
      <c r="G57" s="235"/>
      <c r="H57" s="235"/>
      <c r="I57" s="235"/>
      <c r="J57" s="235"/>
      <c r="K57" s="1095"/>
      <c r="L57" s="745"/>
      <c r="M57" s="636"/>
      <c r="N57" s="238"/>
    </row>
    <row r="58" spans="1:14">
      <c r="A58" s="1092"/>
      <c r="F58" s="699"/>
      <c r="G58" s="235"/>
      <c r="H58" s="235"/>
      <c r="I58" s="235"/>
      <c r="J58" s="235"/>
      <c r="K58" s="1095"/>
      <c r="L58" s="745"/>
      <c r="M58" s="636"/>
      <c r="N58" s="238"/>
    </row>
    <row r="59" spans="1:14">
      <c r="A59" s="1092"/>
      <c r="F59" s="699"/>
      <c r="G59" s="235"/>
      <c r="H59" s="235"/>
      <c r="I59" s="235"/>
      <c r="J59" s="235"/>
      <c r="K59" s="1095"/>
      <c r="L59" s="745"/>
      <c r="M59" s="636"/>
      <c r="N59" s="238"/>
    </row>
    <row r="60" spans="1:14">
      <c r="A60" s="1092"/>
      <c r="F60" s="699"/>
      <c r="G60" s="235"/>
      <c r="H60" s="235"/>
      <c r="I60" s="235"/>
      <c r="J60" s="235"/>
      <c r="K60" s="1095"/>
      <c r="L60" s="745"/>
      <c r="M60" s="636"/>
      <c r="N60" s="238"/>
    </row>
    <row r="61" spans="1:14">
      <c r="A61" s="1092"/>
      <c r="F61" s="699"/>
      <c r="G61" s="235"/>
      <c r="H61" s="235"/>
      <c r="I61" s="235"/>
      <c r="J61" s="235"/>
      <c r="K61" s="1095"/>
      <c r="L61" s="745"/>
      <c r="M61" s="636"/>
      <c r="N61" s="238"/>
    </row>
    <row r="62" spans="1:14">
      <c r="A62" s="1092"/>
      <c r="F62" s="699"/>
      <c r="G62" s="235"/>
      <c r="H62" s="235"/>
      <c r="I62" s="235"/>
      <c r="J62" s="235"/>
      <c r="K62" s="1095"/>
      <c r="L62" s="745"/>
      <c r="M62" s="636"/>
      <c r="N62" s="238"/>
    </row>
    <row r="63" spans="1:14">
      <c r="A63" s="1092"/>
      <c r="F63" s="699"/>
      <c r="G63" s="235"/>
      <c r="H63" s="235"/>
      <c r="I63" s="235"/>
      <c r="J63" s="235"/>
      <c r="K63" s="1095"/>
      <c r="L63" s="745"/>
      <c r="M63" s="636"/>
      <c r="N63" s="238"/>
    </row>
    <row r="64" spans="1:14">
      <c r="A64" s="1092"/>
      <c r="F64" s="699"/>
      <c r="G64" s="235"/>
      <c r="H64" s="235"/>
      <c r="I64" s="235"/>
      <c r="J64" s="235"/>
      <c r="K64" s="1095"/>
      <c r="L64" s="745"/>
      <c r="M64" s="636"/>
      <c r="N64" s="238"/>
    </row>
    <row r="65" spans="1:14">
      <c r="A65" s="1092"/>
      <c r="F65" s="699"/>
      <c r="G65" s="235"/>
      <c r="H65" s="235"/>
      <c r="I65" s="235"/>
      <c r="J65" s="235"/>
      <c r="K65" s="1095"/>
      <c r="L65" s="745"/>
      <c r="M65" s="636"/>
      <c r="N65" s="238"/>
    </row>
    <row r="66" spans="1:14">
      <c r="A66" s="1092"/>
      <c r="F66" s="699"/>
      <c r="G66" s="235"/>
      <c r="H66" s="235"/>
      <c r="I66" s="235"/>
      <c r="J66" s="235"/>
      <c r="K66" s="1095"/>
      <c r="L66" s="745"/>
      <c r="M66" s="636"/>
      <c r="N66" s="238"/>
    </row>
    <row r="67" spans="1:14">
      <c r="A67" s="1092"/>
      <c r="F67" s="699"/>
      <c r="G67" s="235"/>
      <c r="H67" s="235"/>
      <c r="I67" s="235"/>
      <c r="J67" s="235"/>
      <c r="K67" s="1095"/>
      <c r="L67" s="745"/>
      <c r="M67" s="636"/>
      <c r="N67" s="238"/>
    </row>
    <row r="68" spans="1:14">
      <c r="A68" s="1092"/>
      <c r="F68" s="699"/>
      <c r="G68" s="235"/>
      <c r="H68" s="235"/>
      <c r="I68" s="235"/>
      <c r="J68" s="235"/>
      <c r="K68" s="1095"/>
      <c r="L68" s="745"/>
      <c r="M68" s="636"/>
      <c r="N68" s="238"/>
    </row>
    <row r="69" spans="1:14">
      <c r="A69" s="1092"/>
      <c r="F69" s="699"/>
      <c r="G69" s="235"/>
      <c r="H69" s="235"/>
      <c r="I69" s="235"/>
      <c r="J69" s="235"/>
      <c r="K69" s="1095"/>
      <c r="L69" s="745"/>
      <c r="M69" s="636"/>
      <c r="N69" s="238"/>
    </row>
    <row r="70" spans="1:14">
      <c r="A70" s="1092"/>
      <c r="F70" s="699"/>
      <c r="G70" s="235"/>
      <c r="H70" s="235"/>
      <c r="I70" s="235"/>
      <c r="J70" s="235"/>
      <c r="K70" s="1095"/>
      <c r="L70" s="745"/>
      <c r="M70" s="636"/>
      <c r="N70" s="238"/>
    </row>
    <row r="71" spans="1:14">
      <c r="A71" s="1092"/>
      <c r="F71" s="699"/>
      <c r="G71" s="235"/>
      <c r="H71" s="235"/>
      <c r="I71" s="235"/>
      <c r="J71" s="235"/>
      <c r="K71" s="1095"/>
      <c r="L71" s="745"/>
      <c r="M71" s="636"/>
      <c r="N71" s="238"/>
    </row>
    <row r="72" spans="1:14">
      <c r="A72" s="1092"/>
      <c r="F72" s="699"/>
      <c r="G72" s="235"/>
      <c r="H72" s="235"/>
      <c r="I72" s="235"/>
      <c r="J72" s="235"/>
      <c r="K72" s="1095"/>
      <c r="L72" s="745"/>
      <c r="M72" s="636"/>
      <c r="N72" s="238"/>
    </row>
    <row r="73" spans="1:14">
      <c r="A73" s="1092"/>
      <c r="F73" s="699"/>
      <c r="G73" s="235"/>
      <c r="H73" s="235"/>
      <c r="I73" s="235"/>
      <c r="J73" s="235"/>
      <c r="K73" s="1095"/>
      <c r="L73" s="745"/>
      <c r="M73" s="636"/>
      <c r="N73" s="238"/>
    </row>
    <row r="74" spans="1:14">
      <c r="A74" s="1092"/>
      <c r="F74" s="699"/>
      <c r="G74" s="235"/>
      <c r="H74" s="235"/>
      <c r="I74" s="235"/>
      <c r="J74" s="235"/>
      <c r="K74" s="1095"/>
      <c r="L74" s="745"/>
      <c r="M74" s="636"/>
      <c r="N74" s="238"/>
    </row>
    <row r="75" spans="1:14">
      <c r="A75" s="1092"/>
      <c r="F75" s="699"/>
      <c r="G75" s="235"/>
      <c r="H75" s="235"/>
      <c r="I75" s="235"/>
      <c r="J75" s="235"/>
      <c r="K75" s="1095"/>
      <c r="L75" s="745"/>
      <c r="M75" s="636"/>
      <c r="N75" s="238"/>
    </row>
    <row r="76" spans="1:14">
      <c r="A76" s="1097"/>
      <c r="B76" s="6"/>
      <c r="C76" s="4"/>
      <c r="D76" s="3"/>
      <c r="E76" s="235"/>
      <c r="F76" s="235"/>
      <c r="G76" s="235"/>
      <c r="H76" s="235"/>
      <c r="I76" s="235"/>
      <c r="J76" s="235"/>
      <c r="K76" s="255"/>
      <c r="L76" s="1096"/>
      <c r="M76" s="235"/>
      <c r="N76" s="238"/>
    </row>
    <row r="77" spans="1:14">
      <c r="A77" s="1098"/>
      <c r="B77" s="753"/>
      <c r="C77" s="3"/>
      <c r="D77" s="235"/>
      <c r="E77" s="1096"/>
      <c r="F77" s="1096"/>
      <c r="G77" s="235"/>
      <c r="H77" s="235"/>
      <c r="I77" s="631"/>
      <c r="J77" s="1099"/>
      <c r="K77" s="323"/>
      <c r="L77" s="1096"/>
      <c r="M77" s="1100"/>
      <c r="N77" s="238"/>
    </row>
    <row r="78" spans="1:14">
      <c r="A78" s="1098"/>
      <c r="B78" s="753"/>
      <c r="C78" s="3"/>
      <c r="D78" s="235"/>
      <c r="E78" s="1096"/>
      <c r="F78" s="1096"/>
      <c r="G78" s="235"/>
      <c r="H78" s="235"/>
      <c r="I78" s="631"/>
      <c r="J78" s="1099"/>
      <c r="K78" s="323"/>
      <c r="L78" s="1096"/>
      <c r="M78" s="1100"/>
      <c r="N78" s="238"/>
    </row>
    <row r="79" spans="1:14">
      <c r="A79" s="1098"/>
      <c r="B79" s="753"/>
      <c r="C79" s="3"/>
      <c r="D79" s="235"/>
      <c r="E79" s="1096"/>
      <c r="F79" s="1096"/>
      <c r="G79" s="235"/>
      <c r="H79" s="235"/>
      <c r="I79" s="631"/>
      <c r="J79" s="1099"/>
      <c r="K79" s="323"/>
      <c r="L79" s="1096"/>
      <c r="M79" s="1100"/>
      <c r="N79" s="238"/>
    </row>
    <row r="80" spans="1:14">
      <c r="A80" s="1098"/>
      <c r="B80" s="753"/>
      <c r="C80" s="3"/>
      <c r="D80" s="235"/>
      <c r="E80" s="1096"/>
      <c r="F80" s="1096"/>
      <c r="G80" s="235"/>
      <c r="H80" s="235"/>
      <c r="I80" s="631"/>
      <c r="J80" s="1099"/>
      <c r="K80" s="323"/>
      <c r="L80" s="1096"/>
      <c r="M80" s="1100"/>
      <c r="N80" s="238"/>
    </row>
    <row r="81" spans="1:14">
      <c r="A81" s="1098"/>
      <c r="B81" s="753"/>
      <c r="C81" s="3"/>
      <c r="D81" s="235"/>
      <c r="E81" s="1096"/>
      <c r="F81" s="1096"/>
      <c r="G81" s="235"/>
      <c r="H81" s="235"/>
      <c r="I81" s="631"/>
      <c r="J81" s="1099"/>
      <c r="K81" s="323"/>
      <c r="L81" s="1096"/>
      <c r="M81" s="1100"/>
      <c r="N81" s="238"/>
    </row>
    <row r="82" spans="1:14">
      <c r="A82" s="1098"/>
      <c r="B82" s="753"/>
      <c r="C82" s="3"/>
      <c r="D82" s="235"/>
      <c r="E82" s="1096"/>
      <c r="F82" s="1096"/>
      <c r="G82" s="235"/>
      <c r="H82" s="235"/>
      <c r="I82" s="631"/>
      <c r="J82" s="1099"/>
      <c r="K82" s="323"/>
      <c r="L82" s="1096"/>
      <c r="M82" s="1100"/>
      <c r="N82" s="238"/>
    </row>
    <row r="83" spans="1:14">
      <c r="B83" s="6"/>
      <c r="C83" s="1101"/>
      <c r="D83" s="1101"/>
      <c r="E83" s="1101"/>
      <c r="F83" s="1102"/>
      <c r="G83" s="1103"/>
      <c r="H83" s="1103"/>
      <c r="I83" s="1103"/>
      <c r="J83" s="1104"/>
      <c r="K83" s="1105"/>
      <c r="L83" s="1106"/>
      <c r="M83" s="1106"/>
      <c r="N83" s="238"/>
    </row>
    <row r="84" spans="1:14">
      <c r="B84" s="6"/>
      <c r="C84" s="1101"/>
      <c r="D84" s="1101"/>
      <c r="E84" s="1101"/>
      <c r="F84" s="1102"/>
      <c r="G84" s="1103"/>
      <c r="H84" s="1103"/>
      <c r="I84" s="1103"/>
      <c r="J84" s="1104"/>
      <c r="K84" s="1105"/>
      <c r="L84" s="1106"/>
      <c r="M84" s="1106"/>
      <c r="N84" s="238"/>
    </row>
    <row r="85" spans="1:14">
      <c r="B85" s="6"/>
      <c r="C85" s="1101"/>
      <c r="D85" s="1101"/>
      <c r="E85" s="1101"/>
      <c r="F85" s="1102"/>
      <c r="G85" s="1103"/>
      <c r="H85" s="1103"/>
      <c r="I85" s="1103"/>
      <c r="J85" s="1104"/>
      <c r="K85" s="1105"/>
      <c r="L85" s="1106"/>
      <c r="M85" s="1106"/>
      <c r="N85" s="238"/>
    </row>
    <row r="86" spans="1:14">
      <c r="B86" s="6"/>
      <c r="C86" s="1101"/>
      <c r="D86" s="1101"/>
      <c r="E86" s="1101"/>
      <c r="F86" s="1102"/>
      <c r="G86" s="1103"/>
      <c r="H86" s="1103"/>
      <c r="I86" s="1103"/>
      <c r="J86" s="1104"/>
      <c r="K86" s="1105"/>
      <c r="L86" s="1106"/>
      <c r="M86" s="1106"/>
      <c r="N86" s="238"/>
    </row>
    <row r="87" spans="1:14">
      <c r="B87" s="6"/>
      <c r="F87" s="1107"/>
      <c r="K87" s="321"/>
      <c r="L87" s="539"/>
      <c r="M87" s="1106"/>
      <c r="N87" s="238"/>
    </row>
    <row r="88" spans="1:14">
      <c r="A88" s="2"/>
      <c r="B88" s="1111" t="s">
        <v>0</v>
      </c>
      <c r="C88" s="1111"/>
      <c r="D88" s="1111"/>
      <c r="E88" s="1111"/>
      <c r="F88" s="1111"/>
      <c r="G88" s="1111"/>
      <c r="H88" s="1111"/>
      <c r="I88" s="1111"/>
      <c r="J88" s="1111"/>
      <c r="K88" s="1111"/>
      <c r="L88" s="1111"/>
      <c r="M88" s="1111"/>
      <c r="N88" s="1111"/>
    </row>
    <row r="89" spans="1:14">
      <c r="A89" s="2"/>
      <c r="B89" s="1121" t="s">
        <v>1</v>
      </c>
      <c r="C89" s="1121"/>
      <c r="D89" s="1121"/>
      <c r="E89" s="1121"/>
      <c r="F89" s="1121"/>
      <c r="G89" s="1121"/>
      <c r="H89" s="1121"/>
      <c r="I89" s="1121"/>
      <c r="J89" s="1121"/>
      <c r="K89" s="1121"/>
      <c r="L89" s="1121"/>
      <c r="M89" s="1121"/>
      <c r="N89" s="1121"/>
    </row>
    <row r="90" spans="1:14" ht="18.75" customHeight="1">
      <c r="A90" s="4"/>
      <c r="B90" s="5" t="s">
        <v>3</v>
      </c>
      <c r="C90" s="90" t="s">
        <v>748</v>
      </c>
      <c r="D90" s="90"/>
      <c r="E90" s="90"/>
      <c r="F90" s="90"/>
      <c r="G90" s="90"/>
      <c r="H90" s="90"/>
      <c r="I90" s="90"/>
      <c r="J90" s="4"/>
      <c r="K90" s="4"/>
      <c r="L90" s="5" t="s">
        <v>5</v>
      </c>
      <c r="M90" s="8">
        <v>5635142.9100000001</v>
      </c>
    </row>
    <row r="91" spans="1:14">
      <c r="A91" s="4"/>
      <c r="B91" s="5" t="s">
        <v>7</v>
      </c>
      <c r="C91" s="9" t="s">
        <v>727</v>
      </c>
      <c r="D91" s="4"/>
      <c r="E91" s="6"/>
      <c r="F91" s="6"/>
      <c r="G91" s="6"/>
      <c r="H91" s="4"/>
      <c r="I91" s="4"/>
      <c r="J91" s="4"/>
      <c r="K91" s="4"/>
      <c r="L91" s="5" t="s">
        <v>8</v>
      </c>
      <c r="M91" s="8">
        <v>1127028.58</v>
      </c>
      <c r="N91" s="238"/>
    </row>
    <row r="92" spans="1:14">
      <c r="A92" s="4"/>
      <c r="B92" s="5" t="s">
        <v>9</v>
      </c>
      <c r="C92" s="6" t="s">
        <v>728</v>
      </c>
      <c r="D92" s="6"/>
      <c r="E92" s="6"/>
      <c r="F92" s="6"/>
      <c r="G92" s="10"/>
      <c r="H92" s="4"/>
      <c r="I92" s="4"/>
      <c r="J92" s="4"/>
      <c r="K92" s="4"/>
      <c r="L92" s="5" t="s">
        <v>11</v>
      </c>
      <c r="M92" s="11" t="s">
        <v>729</v>
      </c>
      <c r="N92" s="239"/>
    </row>
    <row r="93" spans="1:14">
      <c r="A93" s="4"/>
      <c r="B93" s="5" t="s">
        <v>13</v>
      </c>
      <c r="C93" s="6" t="s">
        <v>730</v>
      </c>
      <c r="D93" s="6"/>
      <c r="E93" s="6"/>
      <c r="F93" s="6"/>
      <c r="G93" s="6"/>
      <c r="H93" s="4"/>
      <c r="I93" s="4"/>
      <c r="J93" s="4"/>
      <c r="K93" s="4"/>
      <c r="L93" s="4"/>
      <c r="M93" s="4"/>
      <c r="N93" s="239"/>
    </row>
    <row r="94" spans="1:14">
      <c r="A94" s="4"/>
      <c r="B94" s="5"/>
      <c r="C94" s="6"/>
      <c r="D94" s="6"/>
      <c r="E94" s="1111" t="s">
        <v>21</v>
      </c>
      <c r="F94" s="1111"/>
      <c r="G94" s="240"/>
      <c r="H94" s="1123" t="s">
        <v>24</v>
      </c>
      <c r="I94" s="1123"/>
      <c r="J94" s="1111" t="s">
        <v>25</v>
      </c>
      <c r="K94" s="1111"/>
      <c r="L94" s="1111" t="s">
        <v>26</v>
      </c>
      <c r="M94" s="1111"/>
      <c r="N94" s="239"/>
    </row>
    <row r="95" spans="1:14">
      <c r="A95" s="4"/>
      <c r="B95" s="1111" t="s">
        <v>454</v>
      </c>
      <c r="C95" s="1111"/>
      <c r="D95" s="1111"/>
      <c r="E95" s="1132">
        <f>F46</f>
        <v>5799709.6704000002</v>
      </c>
      <c r="F95" s="1132"/>
      <c r="G95" s="242"/>
      <c r="H95" s="1132">
        <f>K46</f>
        <v>4411173.4690693002</v>
      </c>
      <c r="I95" s="1132"/>
      <c r="J95" s="1132">
        <f>L46</f>
        <v>1388536.2013307</v>
      </c>
      <c r="K95" s="1132"/>
      <c r="L95" s="1132">
        <f>H95+J95</f>
        <v>5799709.6704000002</v>
      </c>
      <c r="M95" s="1132"/>
      <c r="N95" s="239"/>
    </row>
    <row r="96" spans="1:14">
      <c r="A96" s="4"/>
      <c r="B96" s="9" t="s">
        <v>210</v>
      </c>
      <c r="C96" s="6"/>
      <c r="D96" s="6"/>
      <c r="E96" s="184"/>
      <c r="F96" s="184"/>
      <c r="G96" s="184"/>
      <c r="H96" s="243"/>
      <c r="I96" s="243"/>
      <c r="J96" s="243"/>
      <c r="K96" s="243"/>
      <c r="L96" s="243"/>
      <c r="M96" s="243"/>
      <c r="N96" s="239"/>
    </row>
    <row r="97" spans="1:14">
      <c r="A97" s="4"/>
      <c r="B97" s="9" t="s">
        <v>215</v>
      </c>
      <c r="C97" s="6"/>
      <c r="E97" s="244"/>
      <c r="F97" s="244"/>
      <c r="G97" s="244"/>
      <c r="H97" s="244"/>
      <c r="I97" s="244"/>
      <c r="J97" s="244"/>
      <c r="K97" s="244"/>
      <c r="L97" s="244"/>
      <c r="M97" s="244"/>
    </row>
    <row r="98" spans="1:14">
      <c r="A98" s="426"/>
      <c r="B98" s="9" t="s">
        <v>133</v>
      </c>
      <c r="C98" s="94"/>
      <c r="D98" s="94"/>
      <c r="E98" s="1120"/>
      <c r="F98" s="1120"/>
      <c r="G98" s="245"/>
      <c r="H98" s="1120"/>
      <c r="I98" s="1120"/>
      <c r="J98" s="184"/>
      <c r="K98" s="184"/>
      <c r="L98" s="1120"/>
      <c r="M98" s="1120"/>
      <c r="N98" s="239"/>
    </row>
    <row r="99" spans="1:14">
      <c r="A99" s="426"/>
      <c r="B99" s="6" t="s">
        <v>134</v>
      </c>
      <c r="C99" s="94"/>
      <c r="D99" s="96">
        <v>3.5000000000000003E-2</v>
      </c>
      <c r="E99" s="1120">
        <f>D99*E95</f>
        <v>202989.83846400003</v>
      </c>
      <c r="F99" s="1120"/>
      <c r="G99" s="245"/>
      <c r="H99" s="1120">
        <f>H95*D99</f>
        <v>154391.07141742553</v>
      </c>
      <c r="I99" s="1120"/>
      <c r="J99" s="1133">
        <f>J95*D99</f>
        <v>48598.767046574503</v>
      </c>
      <c r="K99" s="1133"/>
      <c r="L99" s="1133">
        <f>J99+H99</f>
        <v>202989.83846400003</v>
      </c>
      <c r="M99" s="1133"/>
      <c r="N99" s="239"/>
    </row>
    <row r="100" spans="1:14">
      <c r="A100" s="426"/>
      <c r="B100" s="6" t="s">
        <v>135</v>
      </c>
      <c r="C100" s="94"/>
      <c r="D100" s="98">
        <v>0.1</v>
      </c>
      <c r="E100" s="1120">
        <f>D100*E95</f>
        <v>579970.96704000002</v>
      </c>
      <c r="F100" s="1120"/>
      <c r="G100" s="245"/>
      <c r="H100" s="1120">
        <f>H95*D100</f>
        <v>441117.34690693003</v>
      </c>
      <c r="I100" s="1120"/>
      <c r="J100" s="1133">
        <f>J95*D100</f>
        <v>138853.62013307001</v>
      </c>
      <c r="K100" s="1133"/>
      <c r="L100" s="1133">
        <f t="shared" ref="L100:L105" si="11">J100+H100</f>
        <v>579970.96704000002</v>
      </c>
      <c r="M100" s="1133"/>
      <c r="N100" s="239"/>
    </row>
    <row r="101" spans="1:14">
      <c r="A101" s="426"/>
      <c r="B101" s="6" t="s">
        <v>136</v>
      </c>
      <c r="C101" s="94"/>
      <c r="D101" s="98">
        <v>0.18</v>
      </c>
      <c r="E101" s="1120">
        <f>D101*E100</f>
        <v>104394.77406719999</v>
      </c>
      <c r="F101" s="1120"/>
      <c r="G101" s="245"/>
      <c r="H101" s="1120">
        <f>H100*D101</f>
        <v>79401.122443247397</v>
      </c>
      <c r="I101" s="1120"/>
      <c r="J101" s="1133">
        <f>J100*D101</f>
        <v>24993.651623952603</v>
      </c>
      <c r="K101" s="1133"/>
      <c r="L101" s="1133">
        <f t="shared" si="11"/>
        <v>104394.77406719999</v>
      </c>
      <c r="M101" s="1133"/>
      <c r="N101" s="239"/>
    </row>
    <row r="102" spans="1:14">
      <c r="A102" s="426"/>
      <c r="B102" s="6" t="s">
        <v>137</v>
      </c>
      <c r="C102" s="98"/>
      <c r="D102" s="99">
        <v>0.03</v>
      </c>
      <c r="E102" s="1120">
        <f>D102*E95</f>
        <v>173991.29011199999</v>
      </c>
      <c r="F102" s="1120"/>
      <c r="G102" s="245"/>
      <c r="H102" s="1133">
        <f>H95*D102</f>
        <v>132335.20407207901</v>
      </c>
      <c r="I102" s="1133"/>
      <c r="J102" s="1133">
        <f>J95*D102</f>
        <v>41656.086039921</v>
      </c>
      <c r="K102" s="1133"/>
      <c r="L102" s="1133">
        <f t="shared" si="11"/>
        <v>173991.29011200002</v>
      </c>
      <c r="M102" s="1133"/>
      <c r="N102" s="239"/>
    </row>
    <row r="103" spans="1:14">
      <c r="A103" s="426"/>
      <c r="B103" s="6" t="s">
        <v>138</v>
      </c>
      <c r="C103" s="94"/>
      <c r="D103" s="94">
        <v>0.02</v>
      </c>
      <c r="E103" s="1120">
        <f>D103*E95</f>
        <v>115994.19340800001</v>
      </c>
      <c r="F103" s="1120"/>
      <c r="G103" s="245"/>
      <c r="H103" s="1133">
        <f>H95*D103</f>
        <v>88223.469381386007</v>
      </c>
      <c r="I103" s="1133"/>
      <c r="J103" s="1133">
        <f>J95*D103</f>
        <v>27770.724026614</v>
      </c>
      <c r="K103" s="1133"/>
      <c r="L103" s="1133">
        <f t="shared" si="11"/>
        <v>115994.19340800001</v>
      </c>
      <c r="M103" s="1133"/>
      <c r="N103" s="239"/>
    </row>
    <row r="104" spans="1:14">
      <c r="A104" s="426"/>
      <c r="B104" s="6" t="s">
        <v>139</v>
      </c>
      <c r="C104" s="94"/>
      <c r="D104" s="98">
        <v>0.01</v>
      </c>
      <c r="E104" s="1120">
        <f>D104*E95</f>
        <v>57997.096704000003</v>
      </c>
      <c r="F104" s="1120"/>
      <c r="G104" s="245"/>
      <c r="H104" s="1133">
        <f>H95*D104</f>
        <v>44111.734690693003</v>
      </c>
      <c r="I104" s="1133"/>
      <c r="J104" s="1133">
        <f>J95*D104</f>
        <v>13885.362013307</v>
      </c>
      <c r="K104" s="1133"/>
      <c r="L104" s="1133">
        <f t="shared" si="11"/>
        <v>57997.096704000003</v>
      </c>
      <c r="M104" s="1133"/>
      <c r="N104" s="239"/>
    </row>
    <row r="105" spans="1:14">
      <c r="A105" s="426"/>
      <c r="B105" s="6" t="s">
        <v>140</v>
      </c>
      <c r="C105" s="94"/>
      <c r="D105" s="94">
        <v>1E-3</v>
      </c>
      <c r="E105" s="1120">
        <f>D105*E95</f>
        <v>5799.7096704000005</v>
      </c>
      <c r="F105" s="1120"/>
      <c r="G105" s="245"/>
      <c r="H105" s="1133">
        <f>H95*D105</f>
        <v>4411.1734690693002</v>
      </c>
      <c r="I105" s="1133"/>
      <c r="J105" s="1133">
        <f>J95*D105</f>
        <v>1388.5362013306999</v>
      </c>
      <c r="K105" s="1133"/>
      <c r="L105" s="1133">
        <f t="shared" si="11"/>
        <v>5799.7096703999996</v>
      </c>
      <c r="M105" s="1133"/>
      <c r="N105" s="239"/>
    </row>
    <row r="106" spans="1:14">
      <c r="A106" s="426"/>
      <c r="B106" s="6"/>
      <c r="C106" s="94"/>
      <c r="D106" s="98"/>
      <c r="E106" s="1120"/>
      <c r="F106" s="1120"/>
      <c r="G106" s="245"/>
      <c r="H106" s="1108"/>
      <c r="I106" s="1108"/>
      <c r="J106" s="1108"/>
      <c r="K106" s="1108"/>
      <c r="L106" s="1108"/>
      <c r="M106" s="425"/>
      <c r="N106" s="239"/>
    </row>
    <row r="107" spans="1:14">
      <c r="A107" s="426"/>
      <c r="B107" s="6"/>
      <c r="C107" s="103"/>
      <c r="D107" s="98"/>
      <c r="E107" s="95"/>
      <c r="F107" s="95"/>
      <c r="G107" s="245"/>
      <c r="H107" s="247"/>
      <c r="I107" s="247"/>
      <c r="J107" s="248"/>
      <c r="K107" s="248"/>
      <c r="L107" s="247"/>
      <c r="M107" s="247"/>
      <c r="N107" s="1109"/>
    </row>
    <row r="108" spans="1:14">
      <c r="A108" s="426"/>
      <c r="B108" s="112" t="s">
        <v>141</v>
      </c>
      <c r="C108" s="98"/>
      <c r="D108" s="1"/>
      <c r="E108" s="1135">
        <f>SUM(E99:F107)</f>
        <v>1241137.8694656</v>
      </c>
      <c r="F108" s="1135"/>
      <c r="G108" s="250"/>
      <c r="H108" s="1120">
        <f>SUM(H99:I107)</f>
        <v>943991.12238083023</v>
      </c>
      <c r="I108" s="1120"/>
      <c r="J108" s="1133">
        <f>SUM(J99:K107)</f>
        <v>297146.74708476983</v>
      </c>
      <c r="K108" s="1133"/>
      <c r="L108" s="1120">
        <f>SUM(L99:M106)</f>
        <v>1241137.8694656</v>
      </c>
      <c r="M108" s="1120"/>
      <c r="N108" s="114"/>
    </row>
    <row r="109" spans="1:14">
      <c r="A109" s="426"/>
      <c r="B109" s="6"/>
      <c r="C109" s="252"/>
      <c r="D109" s="253"/>
      <c r="E109" s="1134"/>
      <c r="F109" s="1134"/>
      <c r="G109" s="245"/>
      <c r="H109" s="1138"/>
      <c r="I109" s="1138"/>
      <c r="J109" s="1138"/>
      <c r="K109" s="1138"/>
      <c r="L109" s="1137"/>
      <c r="M109" s="1137"/>
      <c r="N109" s="239"/>
    </row>
    <row r="110" spans="1:14">
      <c r="A110" s="426"/>
      <c r="B110" s="112" t="s">
        <v>141</v>
      </c>
      <c r="C110" s="252"/>
      <c r="D110" s="253"/>
      <c r="E110" s="1134">
        <f>E108-E109</f>
        <v>1241137.8694656</v>
      </c>
      <c r="F110" s="1134"/>
      <c r="G110" s="245"/>
      <c r="H110" s="248"/>
      <c r="I110" s="248"/>
      <c r="J110" s="248"/>
      <c r="K110" s="248"/>
      <c r="L110" s="247"/>
      <c r="M110" s="247"/>
      <c r="N110" s="239"/>
    </row>
    <row r="111" spans="1:14">
      <c r="A111" s="426"/>
      <c r="B111" s="106" t="s">
        <v>143</v>
      </c>
      <c r="C111" s="107"/>
      <c r="D111" s="3"/>
      <c r="E111" s="1135">
        <f>E95+E110</f>
        <v>7040847.5398655999</v>
      </c>
      <c r="F111" s="1135"/>
      <c r="G111" s="254"/>
      <c r="H111" s="1120">
        <f>H95+H108</f>
        <v>5355164.5914501306</v>
      </c>
      <c r="I111" s="1120"/>
      <c r="J111" s="1132">
        <f>J108+J95</f>
        <v>1685682.9484154698</v>
      </c>
      <c r="K111" s="1132"/>
      <c r="L111" s="1130">
        <f>H111+J111</f>
        <v>7040847.5398655999</v>
      </c>
      <c r="M111" s="1130"/>
      <c r="N111" s="239"/>
    </row>
    <row r="112" spans="1:14">
      <c r="A112" s="4"/>
      <c r="B112" s="108" t="s">
        <v>144</v>
      </c>
      <c r="C112" s="98"/>
      <c r="E112" s="243"/>
      <c r="F112" s="243"/>
      <c r="G112" s="243"/>
      <c r="H112" s="243"/>
      <c r="I112" s="243"/>
      <c r="J112" s="243"/>
      <c r="K112" s="243"/>
      <c r="L112" s="243"/>
      <c r="M112" s="243"/>
      <c r="N112" s="239"/>
    </row>
    <row r="113" spans="1:14">
      <c r="A113" s="4"/>
      <c r="B113" s="9" t="s">
        <v>145</v>
      </c>
      <c r="C113" s="3"/>
      <c r="D113" s="109">
        <v>0.2</v>
      </c>
      <c r="E113" s="255"/>
      <c r="F113" s="255"/>
      <c r="G113" s="255"/>
      <c r="H113" s="1120">
        <f>H111*D113</f>
        <v>1071032.9182900263</v>
      </c>
      <c r="I113" s="1120"/>
      <c r="J113" s="1133">
        <f>M91-H113</f>
        <v>55995.661709973821</v>
      </c>
      <c r="K113" s="1133"/>
      <c r="L113" s="1133">
        <f>H113+J113</f>
        <v>1127028.58</v>
      </c>
      <c r="M113" s="1133"/>
    </row>
    <row r="114" spans="1:14">
      <c r="A114" s="4"/>
      <c r="E114" s="255"/>
      <c r="F114" s="255"/>
      <c r="G114" s="255"/>
      <c r="H114" s="1137"/>
      <c r="I114" s="1137"/>
      <c r="J114" s="1133">
        <f>SUM(J113:K113)</f>
        <v>55995.661709973821</v>
      </c>
      <c r="K114" s="1133"/>
      <c r="L114" s="1133">
        <f>H114+J114</f>
        <v>55995.661709973821</v>
      </c>
      <c r="M114" s="1133"/>
    </row>
    <row r="115" spans="1:14">
      <c r="A115" s="4"/>
      <c r="E115" s="255"/>
      <c r="F115" s="255"/>
      <c r="G115" s="255"/>
      <c r="H115" s="256"/>
      <c r="I115" s="243"/>
      <c r="J115" s="255"/>
      <c r="K115" s="248"/>
      <c r="L115" s="248"/>
      <c r="M115" s="248"/>
    </row>
    <row r="116" spans="1:14">
      <c r="A116" s="4"/>
      <c r="B116" s="9" t="s">
        <v>749</v>
      </c>
      <c r="C116" s="3"/>
      <c r="D116" s="3"/>
      <c r="E116" s="255"/>
      <c r="F116" s="255"/>
      <c r="G116" s="255"/>
      <c r="H116" s="1239">
        <f>H111-H113</f>
        <v>4284131.6731601041</v>
      </c>
      <c r="I116" s="1239"/>
      <c r="J116" s="1240">
        <f>J111-J114</f>
        <v>1629687.286705496</v>
      </c>
      <c r="K116" s="1240"/>
      <c r="L116" s="1132">
        <f>H116+J116</f>
        <v>5913818.9598655999</v>
      </c>
      <c r="M116" s="1132"/>
      <c r="N116" s="239"/>
    </row>
    <row r="117" spans="1:14">
      <c r="A117" s="4"/>
      <c r="B117" s="9"/>
      <c r="C117" s="3"/>
      <c r="D117" s="3"/>
      <c r="E117" s="255"/>
      <c r="F117" s="255"/>
      <c r="G117" s="255"/>
      <c r="H117" s="1110"/>
      <c r="I117" s="1110"/>
      <c r="L117" s="241"/>
      <c r="M117" s="241"/>
      <c r="N117" s="239"/>
    </row>
    <row r="118" spans="1:14">
      <c r="A118" s="4"/>
      <c r="B118" s="9"/>
      <c r="C118" s="3"/>
      <c r="D118" s="3"/>
      <c r="E118" s="255"/>
      <c r="F118" s="255"/>
      <c r="G118" s="255"/>
      <c r="H118" s="1110"/>
      <c r="I118" s="1110"/>
      <c r="L118" s="241"/>
      <c r="M118" s="241"/>
      <c r="N118" s="239"/>
    </row>
    <row r="119" spans="1:14">
      <c r="A119" s="1"/>
      <c r="B119" s="1" t="s">
        <v>147</v>
      </c>
      <c r="C119" s="1"/>
      <c r="D119" s="1"/>
      <c r="E119" s="6" t="s">
        <v>148</v>
      </c>
      <c r="F119" s="6"/>
      <c r="I119" s="264" t="s">
        <v>13</v>
      </c>
      <c r="L119" s="1111" t="s">
        <v>149</v>
      </c>
      <c r="M119" s="1111"/>
    </row>
    <row r="120" spans="1:14">
      <c r="A120" s="1"/>
      <c r="B120" s="1"/>
      <c r="C120" s="1"/>
      <c r="D120" s="1111"/>
      <c r="E120" s="1111"/>
      <c r="F120" s="1111"/>
      <c r="G120" s="1111"/>
      <c r="H120" s="1111"/>
      <c r="I120" s="1111"/>
      <c r="J120" s="1111"/>
      <c r="K120" s="1111"/>
      <c r="L120" s="1111"/>
      <c r="M120" s="1111"/>
    </row>
    <row r="121" spans="1:14" ht="14.45" customHeight="1">
      <c r="A121" s="1"/>
      <c r="B121" s="1" t="s">
        <v>150</v>
      </c>
      <c r="C121" s="1"/>
      <c r="D121" s="1"/>
      <c r="E121" s="1" t="s">
        <v>151</v>
      </c>
      <c r="F121" s="1"/>
      <c r="G121" s="1179" t="s">
        <v>730</v>
      </c>
      <c r="H121" s="1179"/>
      <c r="I121" s="1179"/>
      <c r="J121" s="1179"/>
      <c r="K121" s="1179"/>
      <c r="L121" s="1128" t="s">
        <v>218</v>
      </c>
      <c r="M121" s="1128"/>
    </row>
    <row r="122" spans="1:14">
      <c r="B122" s="1" t="s">
        <v>154</v>
      </c>
      <c r="C122" s="1"/>
      <c r="D122" s="1"/>
      <c r="E122" s="1" t="s">
        <v>155</v>
      </c>
      <c r="F122" s="1"/>
      <c r="G122" s="1179"/>
      <c r="H122" s="1179"/>
      <c r="I122" s="1179"/>
      <c r="J122" s="1179"/>
      <c r="K122" s="1179"/>
      <c r="L122" s="1111" t="s">
        <v>219</v>
      </c>
      <c r="M122" s="1111"/>
    </row>
    <row r="123" spans="1:14">
      <c r="I123" t="s">
        <v>220</v>
      </c>
    </row>
    <row r="128" spans="1:14">
      <c r="D128" s="235"/>
    </row>
    <row r="129" spans="4:4">
      <c r="D129" s="235"/>
    </row>
    <row r="130" spans="4:4">
      <c r="D130" s="235"/>
    </row>
    <row r="131" spans="4:4">
      <c r="D131" s="235"/>
    </row>
    <row r="132" spans="4:4">
      <c r="D132" s="235"/>
    </row>
    <row r="133" spans="4:4">
      <c r="D133" s="235"/>
    </row>
    <row r="134" spans="4:4">
      <c r="D134" s="235"/>
    </row>
    <row r="135" spans="4:4">
      <c r="D135" s="235"/>
    </row>
    <row r="136" spans="4:4">
      <c r="D136" s="235"/>
    </row>
  </sheetData>
  <mergeCells count="77">
    <mergeCell ref="B88:N88"/>
    <mergeCell ref="A1:M1"/>
    <mergeCell ref="A2:M2"/>
    <mergeCell ref="A8:F8"/>
    <mergeCell ref="G8:J8"/>
    <mergeCell ref="K8:M8"/>
    <mergeCell ref="B95:D95"/>
    <mergeCell ref="E95:F95"/>
    <mergeCell ref="H95:I95"/>
    <mergeCell ref="J95:K95"/>
    <mergeCell ref="L95:M95"/>
    <mergeCell ref="B89:N89"/>
    <mergeCell ref="E94:F94"/>
    <mergeCell ref="H94:I94"/>
    <mergeCell ref="J94:K94"/>
    <mergeCell ref="L94:M94"/>
    <mergeCell ref="E98:F98"/>
    <mergeCell ref="H98:I98"/>
    <mergeCell ref="L98:M98"/>
    <mergeCell ref="E99:F99"/>
    <mergeCell ref="H99:I99"/>
    <mergeCell ref="J99:K99"/>
    <mergeCell ref="L99:M99"/>
    <mergeCell ref="E100:F100"/>
    <mergeCell ref="H100:I100"/>
    <mergeCell ref="J100:K100"/>
    <mergeCell ref="L100:M100"/>
    <mergeCell ref="E101:F101"/>
    <mergeCell ref="H101:I101"/>
    <mergeCell ref="J101:K101"/>
    <mergeCell ref="L101:M101"/>
    <mergeCell ref="E102:F102"/>
    <mergeCell ref="H102:I102"/>
    <mergeCell ref="J102:K102"/>
    <mergeCell ref="L102:M102"/>
    <mergeCell ref="E103:F103"/>
    <mergeCell ref="H103:I103"/>
    <mergeCell ref="J103:K103"/>
    <mergeCell ref="L103:M103"/>
    <mergeCell ref="E104:F104"/>
    <mergeCell ref="H104:I104"/>
    <mergeCell ref="J104:K104"/>
    <mergeCell ref="L104:M104"/>
    <mergeCell ref="E105:F105"/>
    <mergeCell ref="H105:I105"/>
    <mergeCell ref="J105:K105"/>
    <mergeCell ref="L105:M105"/>
    <mergeCell ref="H113:I113"/>
    <mergeCell ref="J113:K113"/>
    <mergeCell ref="L113:M113"/>
    <mergeCell ref="E106:F106"/>
    <mergeCell ref="E108:F108"/>
    <mergeCell ref="H108:I108"/>
    <mergeCell ref="J108:K108"/>
    <mergeCell ref="L108:M108"/>
    <mergeCell ref="E109:F109"/>
    <mergeCell ref="H109:I109"/>
    <mergeCell ref="J109:K109"/>
    <mergeCell ref="L109:M109"/>
    <mergeCell ref="E110:F110"/>
    <mergeCell ref="E111:F111"/>
    <mergeCell ref="H111:I111"/>
    <mergeCell ref="J111:K111"/>
    <mergeCell ref="L111:M111"/>
    <mergeCell ref="H114:I114"/>
    <mergeCell ref="J114:K114"/>
    <mergeCell ref="L114:M114"/>
    <mergeCell ref="H116:I116"/>
    <mergeCell ref="J116:K116"/>
    <mergeCell ref="L116:M116"/>
    <mergeCell ref="L119:M119"/>
    <mergeCell ref="D120:F120"/>
    <mergeCell ref="G120:J120"/>
    <mergeCell ref="K120:M120"/>
    <mergeCell ref="G121:K122"/>
    <mergeCell ref="L121:M121"/>
    <mergeCell ref="L122:M122"/>
  </mergeCells>
  <pageMargins left="0.23622047244094491" right="0.23622047244094491" top="0.74803149606299213" bottom="0.74803149606299213" header="0.31496062992125984" footer="0.31496062992125984"/>
  <pageSetup paperSize="5" scale="90" fitToWidth="63" fitToHeight="0" orientation="landscape" horizontalDpi="0" verticalDpi="0" r:id="rId1"/>
  <rowBreaks count="1" manualBreakCount="1">
    <brk id="46" max="12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DCF771-C5E4-457C-B3AA-7AC144C7FF9A}">
  <dimension ref="A1:Q115"/>
  <sheetViews>
    <sheetView topLeftCell="B79" zoomScaleNormal="100" workbookViewId="0">
      <selection activeCell="O106" sqref="O106"/>
    </sheetView>
  </sheetViews>
  <sheetFormatPr baseColWidth="10" defaultRowHeight="15"/>
  <cols>
    <col min="1" max="1" width="8.42578125" bestFit="1" customWidth="1"/>
    <col min="2" max="2" width="37.140625" customWidth="1"/>
    <col min="3" max="3" width="9.5703125" bestFit="1" customWidth="1"/>
    <col min="4" max="4" width="10.140625" bestFit="1" customWidth="1"/>
    <col min="5" max="5" width="10.5703125" bestFit="1" customWidth="1"/>
    <col min="6" max="6" width="16.7109375" customWidth="1"/>
    <col min="7" max="7" width="11" bestFit="1" customWidth="1"/>
    <col min="8" max="8" width="11.140625" bestFit="1" customWidth="1"/>
    <col min="9" max="9" width="13.28515625" bestFit="1" customWidth="1"/>
    <col min="10" max="10" width="8.85546875" bestFit="1" customWidth="1"/>
    <col min="11" max="11" width="14.7109375" bestFit="1" customWidth="1"/>
    <col min="12" max="12" width="16.85546875" customWidth="1"/>
    <col min="13" max="13" width="15.42578125" customWidth="1"/>
    <col min="14" max="14" width="11.28515625" bestFit="1" customWidth="1"/>
    <col min="15" max="15" width="19.85546875" bestFit="1" customWidth="1"/>
    <col min="17" max="17" width="13.5703125" customWidth="1"/>
  </cols>
  <sheetData>
    <row r="1" spans="1:14" ht="15.75">
      <c r="A1" s="1111" t="s">
        <v>0</v>
      </c>
      <c r="B1" s="1111"/>
      <c r="C1" s="1111"/>
      <c r="D1" s="1111"/>
      <c r="E1" s="1111"/>
      <c r="F1" s="1111"/>
      <c r="G1" s="1111"/>
      <c r="H1" s="1111"/>
      <c r="I1" s="1111"/>
      <c r="J1" s="1111"/>
      <c r="K1" s="1111"/>
      <c r="L1" s="1111"/>
      <c r="M1" s="1111"/>
      <c r="N1" s="116"/>
    </row>
    <row r="2" spans="1:14" ht="15.75">
      <c r="A2" s="1121" t="s">
        <v>1</v>
      </c>
      <c r="B2" s="1121"/>
      <c r="C2" s="1121"/>
      <c r="D2" s="1121"/>
      <c r="E2" s="1121"/>
      <c r="F2" s="1121"/>
      <c r="G2" s="1121"/>
      <c r="H2" s="1121"/>
      <c r="I2" s="1121"/>
      <c r="J2" s="1121"/>
      <c r="K2" s="1121"/>
      <c r="L2" s="1121"/>
      <c r="M2" s="1121"/>
      <c r="N2" s="116"/>
    </row>
    <row r="3" spans="1:14" ht="15" customHeight="1">
      <c r="A3" s="4"/>
      <c r="J3" s="4"/>
      <c r="K3" s="4"/>
      <c r="L3" s="5" t="s">
        <v>5</v>
      </c>
      <c r="M3" s="8">
        <v>14716402.93</v>
      </c>
      <c r="N3" s="117"/>
    </row>
    <row r="4" spans="1:14" ht="15.75">
      <c r="A4" s="4"/>
      <c r="B4" s="5" t="s">
        <v>3</v>
      </c>
      <c r="C4" s="1141" t="s">
        <v>157</v>
      </c>
      <c r="D4" s="1141"/>
      <c r="E4" s="1141"/>
      <c r="F4" s="1141"/>
      <c r="G4" s="1141"/>
      <c r="H4" s="1141"/>
      <c r="I4" s="1141"/>
      <c r="J4" s="4"/>
      <c r="K4" s="4"/>
      <c r="L4" s="5" t="s">
        <v>8</v>
      </c>
      <c r="M4" s="8">
        <v>2943280.59</v>
      </c>
      <c r="N4" s="117"/>
    </row>
    <row r="5" spans="1:14" ht="15.75">
      <c r="A5" s="4"/>
      <c r="B5" s="5" t="s">
        <v>7</v>
      </c>
      <c r="C5" s="9">
        <v>3</v>
      </c>
      <c r="D5" s="4"/>
      <c r="E5" s="6"/>
      <c r="F5" s="6"/>
      <c r="G5" s="6"/>
      <c r="H5" s="4"/>
      <c r="I5" s="4"/>
      <c r="J5" s="4"/>
      <c r="K5" s="4"/>
      <c r="L5" s="5" t="s">
        <v>158</v>
      </c>
      <c r="M5" s="8" t="s">
        <v>159</v>
      </c>
      <c r="N5" s="117"/>
    </row>
    <row r="6" spans="1:14" ht="15.75">
      <c r="A6" s="4"/>
      <c r="B6" s="5" t="s">
        <v>9</v>
      </c>
      <c r="C6" s="6" t="s">
        <v>160</v>
      </c>
      <c r="D6" s="6"/>
      <c r="E6" s="6"/>
      <c r="F6" s="6" t="s">
        <v>161</v>
      </c>
      <c r="G6" s="10"/>
      <c r="H6" s="4"/>
      <c r="L6" s="5" t="s">
        <v>11</v>
      </c>
      <c r="M6" s="11" t="s">
        <v>162</v>
      </c>
      <c r="N6" s="117"/>
    </row>
    <row r="7" spans="1:14" ht="15.75">
      <c r="A7" s="4"/>
      <c r="B7" s="5" t="s">
        <v>13</v>
      </c>
      <c r="C7" s="6" t="s">
        <v>163</v>
      </c>
      <c r="D7" s="6"/>
      <c r="E7" s="6"/>
      <c r="F7" s="6"/>
      <c r="H7" s="4"/>
      <c r="I7" s="4"/>
      <c r="J7" s="4"/>
      <c r="K7" s="4"/>
      <c r="L7" s="4"/>
      <c r="M7" s="3"/>
      <c r="N7" s="117"/>
    </row>
    <row r="8" spans="1:14" ht="15.75">
      <c r="A8" s="1142" t="s">
        <v>164</v>
      </c>
      <c r="B8" s="1143"/>
      <c r="C8" s="1143"/>
      <c r="D8" s="1143"/>
      <c r="E8" s="1143"/>
      <c r="F8" s="1144"/>
      <c r="G8" s="1145" t="s">
        <v>16</v>
      </c>
      <c r="H8" s="1146"/>
      <c r="I8" s="1146"/>
      <c r="J8" s="1147"/>
      <c r="K8" s="1148" t="s">
        <v>17</v>
      </c>
      <c r="L8" s="1149"/>
      <c r="M8" s="1150"/>
      <c r="N8" s="119"/>
    </row>
    <row r="9" spans="1:14" ht="15.75">
      <c r="A9" s="120" t="s">
        <v>18</v>
      </c>
      <c r="B9" s="121" t="s">
        <v>19</v>
      </c>
      <c r="C9" s="121" t="s">
        <v>20</v>
      </c>
      <c r="D9" s="121" t="s">
        <v>165</v>
      </c>
      <c r="E9" s="122" t="s">
        <v>22</v>
      </c>
      <c r="F9" s="122" t="s">
        <v>23</v>
      </c>
      <c r="G9" s="123" t="s">
        <v>24</v>
      </c>
      <c r="H9" s="123" t="s">
        <v>25</v>
      </c>
      <c r="I9" s="124" t="s">
        <v>26</v>
      </c>
      <c r="J9" s="125" t="s">
        <v>27</v>
      </c>
      <c r="K9" s="126" t="s">
        <v>24</v>
      </c>
      <c r="L9" s="127" t="s">
        <v>25</v>
      </c>
      <c r="M9" s="127" t="s">
        <v>26</v>
      </c>
      <c r="N9" s="119"/>
    </row>
    <row r="10" spans="1:14" ht="15.75">
      <c r="A10" s="128">
        <v>1</v>
      </c>
      <c r="B10" s="129" t="s">
        <v>166</v>
      </c>
      <c r="C10" s="130"/>
      <c r="D10" s="131"/>
      <c r="E10" s="132"/>
      <c r="F10" s="132"/>
      <c r="G10" s="133"/>
      <c r="H10" s="134"/>
      <c r="I10" s="134"/>
      <c r="J10" s="134"/>
      <c r="K10" s="135"/>
      <c r="L10" s="135"/>
      <c r="M10" s="135"/>
      <c r="N10" s="119"/>
    </row>
    <row r="11" spans="1:14" ht="15.75">
      <c r="A11" s="128">
        <f>A10+0.01</f>
        <v>1.01</v>
      </c>
      <c r="B11" s="136" t="s">
        <v>167</v>
      </c>
      <c r="C11" s="132">
        <v>1268.1099999999999</v>
      </c>
      <c r="D11" s="137" t="s">
        <v>30</v>
      </c>
      <c r="E11" s="138">
        <v>51.943460000000002</v>
      </c>
      <c r="F11" s="138">
        <f t="shared" ref="F11" si="0">C11*E11</f>
        <v>65870.021060600004</v>
      </c>
      <c r="G11" s="134">
        <v>950</v>
      </c>
      <c r="H11" s="134">
        <v>318.11</v>
      </c>
      <c r="I11" s="133">
        <f>G11+H11</f>
        <v>1268.1100000000001</v>
      </c>
      <c r="J11" s="139">
        <f>I11/C11</f>
        <v>1.0000000000000002</v>
      </c>
      <c r="K11" s="140">
        <f>G11*E11</f>
        <v>49346.287000000004</v>
      </c>
      <c r="L11" s="140">
        <f>H11*E11</f>
        <v>16523.7340606</v>
      </c>
      <c r="M11" s="141">
        <f>K11+L11</f>
        <v>65870.021060600004</v>
      </c>
      <c r="N11" s="119"/>
    </row>
    <row r="12" spans="1:14" ht="21.75" customHeight="1">
      <c r="A12" s="142"/>
      <c r="B12" s="143" t="s">
        <v>168</v>
      </c>
      <c r="C12" s="132"/>
      <c r="D12" s="137"/>
      <c r="E12" s="144"/>
      <c r="F12" s="145">
        <f>F11</f>
        <v>65870.021060600004</v>
      </c>
      <c r="G12" s="146"/>
      <c r="H12" s="146"/>
      <c r="I12" s="146"/>
      <c r="J12" s="146"/>
      <c r="K12" s="147">
        <f>SUM(K11)</f>
        <v>49346.287000000004</v>
      </c>
      <c r="L12" s="147">
        <f>SUM(L11)</f>
        <v>16523.7340606</v>
      </c>
      <c r="M12" s="148">
        <f>K12+L12</f>
        <v>65870.021060600004</v>
      </c>
      <c r="N12" s="117"/>
    </row>
    <row r="13" spans="1:14" ht="15.75">
      <c r="A13" s="149">
        <v>2</v>
      </c>
      <c r="B13" s="143" t="s">
        <v>169</v>
      </c>
      <c r="C13" s="132"/>
      <c r="D13" s="150"/>
      <c r="E13" s="144"/>
      <c r="F13" s="151"/>
      <c r="G13" s="134"/>
      <c r="H13" s="134"/>
      <c r="I13" s="133"/>
      <c r="J13" s="152"/>
      <c r="K13" s="140"/>
      <c r="L13" s="153"/>
      <c r="M13" s="140"/>
      <c r="N13" s="117"/>
    </row>
    <row r="14" spans="1:14" ht="15.75">
      <c r="A14" s="128">
        <f>A13+0.01</f>
        <v>2.0099999999999998</v>
      </c>
      <c r="B14" s="136" t="s">
        <v>170</v>
      </c>
      <c r="C14" s="129">
        <v>280.79000000000002</v>
      </c>
      <c r="D14" s="131" t="s">
        <v>36</v>
      </c>
      <c r="E14" s="132">
        <v>295.82554800000003</v>
      </c>
      <c r="F14" s="138">
        <f t="shared" ref="F14:F18" si="1">C14*E14</f>
        <v>83064.855622920019</v>
      </c>
      <c r="G14" s="154"/>
      <c r="H14" s="134"/>
      <c r="I14" s="133"/>
      <c r="J14" s="152"/>
      <c r="K14" s="140"/>
      <c r="L14" s="140"/>
      <c r="M14" s="141"/>
      <c r="N14" s="117"/>
    </row>
    <row r="15" spans="1:14" ht="15.75">
      <c r="A15" s="128">
        <f t="shared" ref="A15:A18" si="2">A14+0.01</f>
        <v>2.0199999999999996</v>
      </c>
      <c r="B15" s="136" t="s">
        <v>171</v>
      </c>
      <c r="C15" s="129">
        <v>20</v>
      </c>
      <c r="D15" s="131" t="s">
        <v>36</v>
      </c>
      <c r="E15" s="132">
        <v>1694.1146000000001</v>
      </c>
      <c r="F15" s="138">
        <f t="shared" si="1"/>
        <v>33882.292000000001</v>
      </c>
      <c r="G15" s="154"/>
      <c r="H15" s="134"/>
      <c r="I15" s="133"/>
      <c r="J15" s="152"/>
      <c r="K15" s="140"/>
      <c r="L15" s="153"/>
      <c r="M15" s="141"/>
      <c r="N15" s="117"/>
    </row>
    <row r="16" spans="1:14" ht="15.75">
      <c r="A16" s="128">
        <f t="shared" si="2"/>
        <v>2.0299999999999994</v>
      </c>
      <c r="B16" s="136" t="s">
        <v>50</v>
      </c>
      <c r="C16" s="129">
        <v>350.98</v>
      </c>
      <c r="D16" s="131" t="s">
        <v>36</v>
      </c>
      <c r="E16" s="132">
        <v>235.41</v>
      </c>
      <c r="F16" s="138">
        <f t="shared" si="1"/>
        <v>82624.20180000001</v>
      </c>
      <c r="G16" s="154"/>
      <c r="H16" s="134"/>
      <c r="I16" s="133"/>
      <c r="J16" s="152"/>
      <c r="K16" s="140"/>
      <c r="L16" s="140"/>
      <c r="M16" s="141"/>
      <c r="N16" s="117"/>
    </row>
    <row r="17" spans="1:14" ht="36.75">
      <c r="A17" s="128">
        <f t="shared" si="2"/>
        <v>2.0399999999999991</v>
      </c>
      <c r="B17" s="136" t="s">
        <v>172</v>
      </c>
      <c r="C17" s="129">
        <v>90</v>
      </c>
      <c r="D17" s="131" t="s">
        <v>36</v>
      </c>
      <c r="E17" s="132">
        <v>636.02398000000005</v>
      </c>
      <c r="F17" s="138">
        <f t="shared" si="1"/>
        <v>57242.158200000005</v>
      </c>
      <c r="G17" s="154"/>
      <c r="H17" s="134"/>
      <c r="I17" s="133"/>
      <c r="J17" s="152"/>
      <c r="K17" s="140"/>
      <c r="L17" s="153"/>
      <c r="M17" s="141"/>
      <c r="N17" s="117"/>
    </row>
    <row r="18" spans="1:14" ht="24.75">
      <c r="A18" s="128">
        <f t="shared" si="2"/>
        <v>2.0499999999999989</v>
      </c>
      <c r="B18" s="136" t="s">
        <v>173</v>
      </c>
      <c r="C18" s="129">
        <v>57.5</v>
      </c>
      <c r="D18" s="131" t="s">
        <v>36</v>
      </c>
      <c r="E18" s="132">
        <v>84.764949999999999</v>
      </c>
      <c r="F18" s="138">
        <f t="shared" si="1"/>
        <v>4873.9846250000001</v>
      </c>
      <c r="G18" s="154"/>
      <c r="H18" s="134"/>
      <c r="I18" s="133"/>
      <c r="J18" s="152"/>
      <c r="K18" s="140"/>
      <c r="L18" s="140"/>
      <c r="M18" s="141"/>
      <c r="N18" s="117"/>
    </row>
    <row r="19" spans="1:14" ht="15.75">
      <c r="A19" s="142"/>
      <c r="B19" s="155" t="s">
        <v>174</v>
      </c>
      <c r="C19" s="132"/>
      <c r="D19" s="150"/>
      <c r="E19" s="144"/>
      <c r="F19" s="156">
        <f>SUM(F14:F18)</f>
        <v>261687.49224792005</v>
      </c>
      <c r="G19" s="134"/>
      <c r="H19" s="134"/>
      <c r="I19" s="133"/>
      <c r="J19" s="152"/>
      <c r="K19" s="147"/>
      <c r="L19" s="147"/>
      <c r="M19" s="147"/>
      <c r="N19" s="117"/>
    </row>
    <row r="20" spans="1:14" ht="15.75">
      <c r="A20" s="157">
        <v>3</v>
      </c>
      <c r="B20" s="136" t="s">
        <v>175</v>
      </c>
      <c r="C20" s="131"/>
      <c r="D20" s="131"/>
      <c r="E20" s="144"/>
      <c r="F20" s="151"/>
      <c r="G20" s="134"/>
      <c r="H20" s="134"/>
      <c r="I20" s="133"/>
      <c r="J20" s="152"/>
      <c r="K20" s="140"/>
      <c r="L20" s="153"/>
      <c r="M20" s="140"/>
      <c r="N20" s="117"/>
    </row>
    <row r="21" spans="1:14" ht="15.75">
      <c r="A21" s="128">
        <f>A20+0.01</f>
        <v>3.01</v>
      </c>
      <c r="B21" s="158" t="s">
        <v>176</v>
      </c>
      <c r="C21" s="132">
        <v>1112</v>
      </c>
      <c r="D21" s="131" t="s">
        <v>30</v>
      </c>
      <c r="E21" s="159">
        <v>8368.65</v>
      </c>
      <c r="F21" s="138">
        <f t="shared" ref="F21:F30" si="3">C21*E21</f>
        <v>9305938.7999999989</v>
      </c>
      <c r="G21" s="160">
        <v>899.99994000000004</v>
      </c>
      <c r="H21" s="160">
        <v>190</v>
      </c>
      <c r="I21" s="133">
        <f t="shared" ref="I21:I30" si="4">G21+H21</f>
        <v>1089.9999400000002</v>
      </c>
      <c r="J21" s="139">
        <f t="shared" ref="J21:J30" si="5">I21/C21</f>
        <v>0.98021577338129506</v>
      </c>
      <c r="K21" s="140">
        <f>G21*E21</f>
        <v>7531784.4978809999</v>
      </c>
      <c r="L21" s="153">
        <f t="shared" ref="L21:L30" si="6">H21*E21</f>
        <v>1590043.5</v>
      </c>
      <c r="M21" s="141">
        <f>K21+L21</f>
        <v>9121827.997880999</v>
      </c>
      <c r="N21" s="117"/>
    </row>
    <row r="22" spans="1:14" ht="15.75">
      <c r="A22" s="128">
        <f t="shared" ref="A22:A30" si="7">A21+0.01</f>
        <v>3.0199999999999996</v>
      </c>
      <c r="B22" s="158" t="s">
        <v>177</v>
      </c>
      <c r="C22" s="132">
        <v>86</v>
      </c>
      <c r="D22" s="131" t="s">
        <v>30</v>
      </c>
      <c r="E22" s="159">
        <v>12684.21055</v>
      </c>
      <c r="F22" s="138">
        <f t="shared" si="3"/>
        <v>1090842.1073</v>
      </c>
      <c r="G22" s="146">
        <v>125</v>
      </c>
      <c r="H22" s="146">
        <v>-44</v>
      </c>
      <c r="I22" s="133">
        <f t="shared" si="4"/>
        <v>81</v>
      </c>
      <c r="J22" s="139">
        <f t="shared" si="5"/>
        <v>0.94186046511627908</v>
      </c>
      <c r="K22" s="140">
        <f>G22*E22</f>
        <v>1585526.3187499999</v>
      </c>
      <c r="L22" s="140">
        <f t="shared" si="6"/>
        <v>-558105.26419999998</v>
      </c>
      <c r="M22" s="141">
        <f t="shared" ref="M22:M36" si="8">K22+L22</f>
        <v>1027421.0545499999</v>
      </c>
      <c r="N22" s="117"/>
    </row>
    <row r="23" spans="1:14" ht="15.75">
      <c r="A23" s="128">
        <f t="shared" si="7"/>
        <v>3.0299999999999994</v>
      </c>
      <c r="B23" s="158" t="s">
        <v>178</v>
      </c>
      <c r="C23" s="132">
        <v>1112</v>
      </c>
      <c r="D23" s="131" t="s">
        <v>30</v>
      </c>
      <c r="E23" s="159">
        <v>220.549014</v>
      </c>
      <c r="F23" s="138">
        <f t="shared" si="3"/>
        <v>245250.50356799999</v>
      </c>
      <c r="G23" s="160">
        <v>684.56730000000005</v>
      </c>
      <c r="H23" s="134">
        <v>405.43</v>
      </c>
      <c r="I23" s="133">
        <f t="shared" si="4"/>
        <v>1089.9973</v>
      </c>
      <c r="J23" s="139">
        <f t="shared" si="5"/>
        <v>0.98021339928057549</v>
      </c>
      <c r="K23" s="140">
        <f>G23*E23</f>
        <v>150980.64303164222</v>
      </c>
      <c r="L23" s="140">
        <f t="shared" si="6"/>
        <v>89417.186746020001</v>
      </c>
      <c r="M23" s="141">
        <f t="shared" si="8"/>
        <v>240397.82977766223</v>
      </c>
      <c r="N23" s="117"/>
    </row>
    <row r="24" spans="1:14" ht="15.75">
      <c r="A24" s="128">
        <f t="shared" si="7"/>
        <v>3.0399999999999991</v>
      </c>
      <c r="B24" s="158" t="s">
        <v>179</v>
      </c>
      <c r="C24" s="132">
        <v>86</v>
      </c>
      <c r="D24" s="131" t="s">
        <v>30</v>
      </c>
      <c r="E24" s="159">
        <v>315.84507000000002</v>
      </c>
      <c r="F24" s="138">
        <f t="shared" si="3"/>
        <v>27162.676020000003</v>
      </c>
      <c r="G24" s="134"/>
      <c r="H24" s="134">
        <f>C24</f>
        <v>86</v>
      </c>
      <c r="I24" s="133">
        <f t="shared" si="4"/>
        <v>86</v>
      </c>
      <c r="J24" s="139">
        <f t="shared" si="5"/>
        <v>1</v>
      </c>
      <c r="K24" s="140"/>
      <c r="L24" s="140">
        <f t="shared" si="6"/>
        <v>27162.676020000003</v>
      </c>
      <c r="M24" s="141">
        <f t="shared" si="8"/>
        <v>27162.676020000003</v>
      </c>
      <c r="N24" s="117"/>
    </row>
    <row r="25" spans="1:14" ht="24.75">
      <c r="A25" s="128">
        <f t="shared" si="7"/>
        <v>3.0499999999999989</v>
      </c>
      <c r="B25" s="158" t="s">
        <v>180</v>
      </c>
      <c r="C25" s="132">
        <v>48</v>
      </c>
      <c r="D25" s="131" t="s">
        <v>45</v>
      </c>
      <c r="E25" s="132">
        <v>4397.2</v>
      </c>
      <c r="F25" s="138">
        <f t="shared" si="3"/>
        <v>211065.59999999998</v>
      </c>
      <c r="G25" s="161">
        <v>9.8718321000000007</v>
      </c>
      <c r="H25" s="134">
        <f>C25-G25</f>
        <v>38.128167900000001</v>
      </c>
      <c r="I25" s="133">
        <f t="shared" si="4"/>
        <v>48</v>
      </c>
      <c r="J25" s="139">
        <f t="shared" si="5"/>
        <v>1</v>
      </c>
      <c r="K25" s="140">
        <f>G25*E25</f>
        <v>43408.420110120001</v>
      </c>
      <c r="L25" s="153">
        <f t="shared" si="6"/>
        <v>167657.17988988</v>
      </c>
      <c r="M25" s="141">
        <f t="shared" si="8"/>
        <v>211065.60000000001</v>
      </c>
      <c r="N25" s="117"/>
    </row>
    <row r="26" spans="1:14" ht="24.75">
      <c r="A26" s="128">
        <f t="shared" si="7"/>
        <v>3.0599999999999987</v>
      </c>
      <c r="B26" s="158" t="s">
        <v>181</v>
      </c>
      <c r="C26" s="132">
        <v>1</v>
      </c>
      <c r="D26" s="131" t="s">
        <v>32</v>
      </c>
      <c r="E26" s="159">
        <v>50987.13</v>
      </c>
      <c r="F26" s="138">
        <f t="shared" si="3"/>
        <v>50987.13</v>
      </c>
      <c r="G26" s="162">
        <v>0.23335</v>
      </c>
      <c r="H26" s="160">
        <f>C26-G26</f>
        <v>0.76665000000000005</v>
      </c>
      <c r="I26" s="133">
        <f t="shared" si="4"/>
        <v>1</v>
      </c>
      <c r="J26" s="139">
        <f t="shared" si="5"/>
        <v>1</v>
      </c>
      <c r="K26" s="140">
        <f>G26*E26</f>
        <v>11897.8467855</v>
      </c>
      <c r="L26" s="153">
        <f t="shared" si="6"/>
        <v>39089.283214499999</v>
      </c>
      <c r="M26" s="141">
        <f t="shared" si="8"/>
        <v>50987.13</v>
      </c>
      <c r="N26" s="117"/>
    </row>
    <row r="27" spans="1:14" ht="15.75">
      <c r="A27" s="128">
        <f t="shared" si="7"/>
        <v>3.0699999999999985</v>
      </c>
      <c r="B27" s="158" t="s">
        <v>182</v>
      </c>
      <c r="C27" s="132">
        <v>1</v>
      </c>
      <c r="D27" s="131" t="s">
        <v>45</v>
      </c>
      <c r="E27" s="163">
        <v>113558.35</v>
      </c>
      <c r="F27" s="138">
        <f t="shared" si="3"/>
        <v>113558.35</v>
      </c>
      <c r="G27" s="164">
        <v>0.31507000000000002</v>
      </c>
      <c r="H27" s="160">
        <f>C27-G27</f>
        <v>0.68493000000000004</v>
      </c>
      <c r="I27" s="133">
        <f t="shared" si="4"/>
        <v>1</v>
      </c>
      <c r="J27" s="139">
        <f t="shared" si="5"/>
        <v>1</v>
      </c>
      <c r="K27" s="140">
        <f>G27*E27</f>
        <v>35778.829334500006</v>
      </c>
      <c r="L27" s="153">
        <f t="shared" si="6"/>
        <v>77779.520665500007</v>
      </c>
      <c r="M27" s="141">
        <f t="shared" si="8"/>
        <v>113558.35</v>
      </c>
      <c r="N27" s="117"/>
    </row>
    <row r="28" spans="1:14" ht="15.75">
      <c r="A28" s="128">
        <f t="shared" si="7"/>
        <v>3.0799999999999983</v>
      </c>
      <c r="B28" s="136" t="s">
        <v>183</v>
      </c>
      <c r="C28" s="132">
        <v>46</v>
      </c>
      <c r="D28" s="131" t="s">
        <v>45</v>
      </c>
      <c r="E28" s="159">
        <v>4554.46</v>
      </c>
      <c r="F28" s="138">
        <f t="shared" si="3"/>
        <v>209505.16</v>
      </c>
      <c r="G28" s="134"/>
      <c r="H28" s="134">
        <v>46</v>
      </c>
      <c r="I28" s="133">
        <f t="shared" si="4"/>
        <v>46</v>
      </c>
      <c r="J28" s="139">
        <f t="shared" si="5"/>
        <v>1</v>
      </c>
      <c r="K28" s="140"/>
      <c r="L28" s="153">
        <f t="shared" si="6"/>
        <v>209505.16</v>
      </c>
      <c r="M28" s="141">
        <f t="shared" si="8"/>
        <v>209505.16</v>
      </c>
      <c r="N28" s="117"/>
    </row>
    <row r="29" spans="1:14" ht="24.75">
      <c r="A29" s="128">
        <f t="shared" si="7"/>
        <v>3.0899999999999981</v>
      </c>
      <c r="B29" s="158" t="s">
        <v>184</v>
      </c>
      <c r="C29" s="163">
        <v>85.08</v>
      </c>
      <c r="D29" s="131" t="s">
        <v>58</v>
      </c>
      <c r="E29" s="159">
        <v>238.84</v>
      </c>
      <c r="F29" s="138">
        <f t="shared" si="3"/>
        <v>20320.5072</v>
      </c>
      <c r="G29" s="134"/>
      <c r="H29" s="134">
        <v>85.08</v>
      </c>
      <c r="I29" s="133">
        <f t="shared" si="4"/>
        <v>85.08</v>
      </c>
      <c r="J29" s="139">
        <f t="shared" si="5"/>
        <v>1</v>
      </c>
      <c r="K29" s="140"/>
      <c r="L29" s="140">
        <f t="shared" si="6"/>
        <v>20320.5072</v>
      </c>
      <c r="M29" s="141">
        <f t="shared" si="8"/>
        <v>20320.5072</v>
      </c>
      <c r="N29" s="117"/>
    </row>
    <row r="30" spans="1:14" ht="24.75">
      <c r="A30" s="128">
        <f t="shared" si="7"/>
        <v>3.0999999999999979</v>
      </c>
      <c r="B30" s="158" t="s">
        <v>185</v>
      </c>
      <c r="C30" s="163">
        <v>667.8</v>
      </c>
      <c r="D30" s="131" t="s">
        <v>58</v>
      </c>
      <c r="E30" s="159">
        <v>238.84</v>
      </c>
      <c r="F30" s="138">
        <f t="shared" si="3"/>
        <v>159497.35199999998</v>
      </c>
      <c r="G30" s="134"/>
      <c r="H30" s="134">
        <v>667.8</v>
      </c>
      <c r="I30" s="133">
        <f t="shared" si="4"/>
        <v>667.8</v>
      </c>
      <c r="J30" s="139">
        <f t="shared" si="5"/>
        <v>1</v>
      </c>
      <c r="K30" s="140"/>
      <c r="L30" s="140">
        <f t="shared" si="6"/>
        <v>159497.35199999998</v>
      </c>
      <c r="M30" s="141">
        <f t="shared" si="8"/>
        <v>159497.35199999998</v>
      </c>
      <c r="N30" s="117"/>
    </row>
    <row r="31" spans="1:14" ht="15.75">
      <c r="A31" s="142"/>
      <c r="B31" s="143" t="s">
        <v>186</v>
      </c>
      <c r="C31" s="132"/>
      <c r="D31" s="150"/>
      <c r="E31" s="144"/>
      <c r="F31" s="151">
        <f>SUM(F21:F30)</f>
        <v>11434128.186087999</v>
      </c>
      <c r="G31" s="133"/>
      <c r="H31" s="133"/>
      <c r="I31" s="133"/>
      <c r="J31" s="139"/>
      <c r="K31" s="147">
        <f>SUM(K21:K30)</f>
        <v>9359376.5558927618</v>
      </c>
      <c r="L31" s="147">
        <f>SUM(L21:L30)</f>
        <v>1822367.1015359</v>
      </c>
      <c r="M31" s="148">
        <f t="shared" si="8"/>
        <v>11181743.657428661</v>
      </c>
      <c r="N31" s="117"/>
    </row>
    <row r="32" spans="1:14" ht="24.75">
      <c r="A32" s="157">
        <v>4</v>
      </c>
      <c r="B32" s="136" t="s">
        <v>187</v>
      </c>
      <c r="C32" s="132"/>
      <c r="D32" s="150"/>
      <c r="E32" s="144"/>
      <c r="F32" s="151"/>
      <c r="G32" s="134"/>
      <c r="H32" s="134"/>
      <c r="I32" s="133"/>
      <c r="J32" s="139"/>
      <c r="K32" s="140"/>
      <c r="L32" s="140"/>
      <c r="M32" s="140"/>
      <c r="N32" s="117"/>
    </row>
    <row r="33" spans="1:14" ht="15.75">
      <c r="A33" s="165">
        <f>A32+0.01</f>
        <v>4.01</v>
      </c>
      <c r="B33" s="136" t="s">
        <v>188</v>
      </c>
      <c r="C33" s="132">
        <v>2</v>
      </c>
      <c r="D33" s="131" t="s">
        <v>45</v>
      </c>
      <c r="E33" s="132">
        <v>51530</v>
      </c>
      <c r="F33" s="138">
        <f t="shared" ref="F33:F35" si="9">C33*E33</f>
        <v>103060</v>
      </c>
      <c r="G33" s="134"/>
      <c r="H33" s="134">
        <f>C33</f>
        <v>2</v>
      </c>
      <c r="I33" s="133">
        <f t="shared" ref="I33:I35" si="10">G33+H33</f>
        <v>2</v>
      </c>
      <c r="J33" s="139">
        <f t="shared" ref="J33:J35" si="11">I33/C33</f>
        <v>1</v>
      </c>
      <c r="K33" s="140"/>
      <c r="L33" s="140">
        <f>H33*E33</f>
        <v>103060</v>
      </c>
      <c r="M33" s="141">
        <f t="shared" si="8"/>
        <v>103060</v>
      </c>
      <c r="N33" s="117"/>
    </row>
    <row r="34" spans="1:14" ht="15.75">
      <c r="A34" s="165">
        <f>A33+0.01</f>
        <v>4.0199999999999996</v>
      </c>
      <c r="B34" s="136" t="s">
        <v>189</v>
      </c>
      <c r="C34" s="132">
        <v>16</v>
      </c>
      <c r="D34" s="131" t="s">
        <v>45</v>
      </c>
      <c r="E34" s="132">
        <v>51908.7</v>
      </c>
      <c r="F34" s="138">
        <f t="shared" si="9"/>
        <v>830539.2</v>
      </c>
      <c r="G34" s="134"/>
      <c r="H34" s="134">
        <f t="shared" ref="H34:H35" si="12">C34</f>
        <v>16</v>
      </c>
      <c r="I34" s="133">
        <f t="shared" si="10"/>
        <v>16</v>
      </c>
      <c r="J34" s="139">
        <f t="shared" si="11"/>
        <v>1</v>
      </c>
      <c r="K34" s="140"/>
      <c r="L34" s="140">
        <f t="shared" ref="L34:L35" si="13">H34*E34</f>
        <v>830539.2</v>
      </c>
      <c r="M34" s="141">
        <f t="shared" si="8"/>
        <v>830539.2</v>
      </c>
      <c r="N34" s="117"/>
    </row>
    <row r="35" spans="1:14" ht="15.75">
      <c r="A35" s="165">
        <f>A34+0.01</f>
        <v>4.0299999999999994</v>
      </c>
      <c r="B35" s="136" t="s">
        <v>190</v>
      </c>
      <c r="C35" s="132">
        <v>1</v>
      </c>
      <c r="D35" s="131" t="s">
        <v>45</v>
      </c>
      <c r="E35" s="163">
        <v>78245.23</v>
      </c>
      <c r="F35" s="138">
        <f t="shared" si="9"/>
        <v>78245.23</v>
      </c>
      <c r="G35" s="134"/>
      <c r="H35" s="134">
        <f t="shared" si="12"/>
        <v>1</v>
      </c>
      <c r="I35" s="133">
        <f t="shared" si="10"/>
        <v>1</v>
      </c>
      <c r="J35" s="139">
        <f t="shared" si="11"/>
        <v>1</v>
      </c>
      <c r="K35" s="140"/>
      <c r="L35" s="140">
        <f t="shared" si="13"/>
        <v>78245.23</v>
      </c>
      <c r="M35" s="141">
        <f t="shared" si="8"/>
        <v>78245.23</v>
      </c>
      <c r="N35" s="117"/>
    </row>
    <row r="36" spans="1:14" ht="15.75">
      <c r="A36" s="166"/>
      <c r="B36" s="143" t="s">
        <v>191</v>
      </c>
      <c r="C36" s="167"/>
      <c r="D36" s="137"/>
      <c r="E36" s="144"/>
      <c r="F36" s="156">
        <f>SUM(F33:F35)</f>
        <v>1011844.4299999999</v>
      </c>
      <c r="G36" s="134"/>
      <c r="H36" s="134"/>
      <c r="I36" s="133"/>
      <c r="J36" s="139"/>
      <c r="K36" s="140"/>
      <c r="L36" s="147">
        <f>SUM(L33:L35)</f>
        <v>1011844.4299999999</v>
      </c>
      <c r="M36" s="148">
        <f t="shared" si="8"/>
        <v>1011844.4299999999</v>
      </c>
      <c r="N36" s="117"/>
    </row>
    <row r="37" spans="1:14" ht="24.75">
      <c r="A37" s="149">
        <v>5</v>
      </c>
      <c r="B37" s="168" t="s">
        <v>192</v>
      </c>
      <c r="C37" s="169"/>
      <c r="D37" s="170"/>
      <c r="E37" s="144"/>
      <c r="F37" s="151"/>
      <c r="G37" s="134"/>
      <c r="H37" s="134"/>
      <c r="I37" s="133"/>
      <c r="J37" s="139"/>
      <c r="K37" s="140"/>
      <c r="L37" s="140"/>
      <c r="M37" s="140"/>
      <c r="N37" s="117"/>
    </row>
    <row r="38" spans="1:14" ht="36.75">
      <c r="A38" s="165">
        <f>A37+0.01</f>
        <v>5.01</v>
      </c>
      <c r="B38" s="158" t="s">
        <v>193</v>
      </c>
      <c r="C38" s="171">
        <v>1</v>
      </c>
      <c r="D38" s="172" t="s">
        <v>32</v>
      </c>
      <c r="E38" s="173">
        <v>36270.78</v>
      </c>
      <c r="F38" s="174">
        <f t="shared" ref="F38:F42" si="14">C38*E38</f>
        <v>36270.78</v>
      </c>
      <c r="G38" s="134">
        <f>C38</f>
        <v>1</v>
      </c>
      <c r="H38" s="134"/>
      <c r="I38" s="133">
        <f t="shared" ref="I38:I42" si="15">G38+H38</f>
        <v>1</v>
      </c>
      <c r="J38" s="139">
        <f t="shared" ref="J38:J42" si="16">I38/C38</f>
        <v>1</v>
      </c>
      <c r="K38" s="140">
        <f>G38*E38</f>
        <v>36270.78</v>
      </c>
      <c r="L38" s="153"/>
      <c r="M38" s="141">
        <f>K38+L38</f>
        <v>36270.78</v>
      </c>
      <c r="N38" s="117"/>
    </row>
    <row r="39" spans="1:14" ht="15.75">
      <c r="A39" s="165">
        <f t="shared" ref="A39:A42" si="17">A38+0.01</f>
        <v>5.0199999999999996</v>
      </c>
      <c r="B39" s="158" t="s">
        <v>170</v>
      </c>
      <c r="C39" s="169">
        <v>20.399999999999999</v>
      </c>
      <c r="D39" s="175" t="s">
        <v>36</v>
      </c>
      <c r="E39" s="169">
        <v>295.82549</v>
      </c>
      <c r="F39" s="138">
        <f t="shared" si="14"/>
        <v>6034.8399959999997</v>
      </c>
      <c r="G39" s="134">
        <f t="shared" ref="G39:G42" si="18">C39</f>
        <v>20.399999999999999</v>
      </c>
      <c r="H39" s="134"/>
      <c r="I39" s="133">
        <f t="shared" si="15"/>
        <v>20.399999999999999</v>
      </c>
      <c r="J39" s="139">
        <f t="shared" si="16"/>
        <v>1</v>
      </c>
      <c r="K39" s="140">
        <f t="shared" ref="K39:K42" si="19">G39*E39</f>
        <v>6034.8399959999997</v>
      </c>
      <c r="L39" s="153"/>
      <c r="M39" s="141">
        <f t="shared" ref="M39:M43" si="20">K39+L39</f>
        <v>6034.8399959999997</v>
      </c>
      <c r="N39" s="117"/>
    </row>
    <row r="40" spans="1:14" ht="15.75">
      <c r="A40" s="165">
        <f t="shared" si="17"/>
        <v>5.0299999999999994</v>
      </c>
      <c r="B40" s="158" t="s">
        <v>171</v>
      </c>
      <c r="C40" s="170">
        <v>1.2</v>
      </c>
      <c r="D40" s="175" t="s">
        <v>36</v>
      </c>
      <c r="E40" s="151">
        <v>1501.079</v>
      </c>
      <c r="F40" s="138">
        <f t="shared" si="14"/>
        <v>1801.2947999999999</v>
      </c>
      <c r="G40" s="134">
        <f t="shared" si="18"/>
        <v>1.2</v>
      </c>
      <c r="H40" s="134"/>
      <c r="I40" s="133">
        <f t="shared" si="15"/>
        <v>1.2</v>
      </c>
      <c r="J40" s="139">
        <f t="shared" si="16"/>
        <v>1</v>
      </c>
      <c r="K40" s="140">
        <f t="shared" si="19"/>
        <v>1801.2947999999999</v>
      </c>
      <c r="L40" s="153"/>
      <c r="M40" s="141">
        <f t="shared" si="20"/>
        <v>1801.2947999999999</v>
      </c>
      <c r="N40" s="117"/>
    </row>
    <row r="41" spans="1:14" ht="15.75">
      <c r="A41" s="165">
        <f t="shared" si="17"/>
        <v>5.0399999999999991</v>
      </c>
      <c r="B41" s="158" t="s">
        <v>50</v>
      </c>
      <c r="C41" s="132">
        <v>1.56</v>
      </c>
      <c r="D41" s="167" t="s">
        <v>36</v>
      </c>
      <c r="E41" s="151">
        <v>235.410256</v>
      </c>
      <c r="F41" s="138">
        <f t="shared" si="14"/>
        <v>367.23999936000001</v>
      </c>
      <c r="G41" s="134">
        <f t="shared" si="18"/>
        <v>1.56</v>
      </c>
      <c r="H41" s="146"/>
      <c r="I41" s="133">
        <f t="shared" si="15"/>
        <v>1.56</v>
      </c>
      <c r="J41" s="139">
        <f t="shared" si="16"/>
        <v>1</v>
      </c>
      <c r="K41" s="140">
        <f t="shared" si="19"/>
        <v>367.23999936000001</v>
      </c>
      <c r="L41" s="147"/>
      <c r="M41" s="141">
        <f t="shared" si="20"/>
        <v>367.23999936000001</v>
      </c>
      <c r="N41" s="117"/>
    </row>
    <row r="42" spans="1:14" ht="24.75">
      <c r="A42" s="165">
        <f t="shared" si="17"/>
        <v>5.0499999999999989</v>
      </c>
      <c r="B42" s="158" t="s">
        <v>173</v>
      </c>
      <c r="C42" s="132">
        <v>18.239999999999998</v>
      </c>
      <c r="D42" s="167" t="s">
        <v>36</v>
      </c>
      <c r="E42" s="151">
        <v>84.764799999999994</v>
      </c>
      <c r="F42" s="138">
        <f t="shared" si="14"/>
        <v>1546.1099519999998</v>
      </c>
      <c r="G42" s="134">
        <f t="shared" si="18"/>
        <v>18.239999999999998</v>
      </c>
      <c r="H42" s="134"/>
      <c r="I42" s="133">
        <f t="shared" si="15"/>
        <v>18.239999999999998</v>
      </c>
      <c r="J42" s="139">
        <f t="shared" si="16"/>
        <v>1</v>
      </c>
      <c r="K42" s="140">
        <f t="shared" si="19"/>
        <v>1546.1099519999998</v>
      </c>
      <c r="L42" s="140"/>
      <c r="M42" s="141">
        <f t="shared" si="20"/>
        <v>1546.1099519999998</v>
      </c>
      <c r="N42" s="117"/>
    </row>
    <row r="43" spans="1:14" ht="15.75">
      <c r="A43" s="166"/>
      <c r="B43" s="176" t="s">
        <v>194</v>
      </c>
      <c r="C43" s="132"/>
      <c r="D43" s="150"/>
      <c r="E43" s="144"/>
      <c r="F43" s="151">
        <f>SUM(F38:F42)</f>
        <v>46020.264747360001</v>
      </c>
      <c r="G43" s="134"/>
      <c r="H43" s="134"/>
      <c r="I43" s="133"/>
      <c r="J43" s="139"/>
      <c r="K43" s="147">
        <f>SUM(K38:K42)</f>
        <v>46020.264747360001</v>
      </c>
      <c r="L43" s="140"/>
      <c r="M43" s="140">
        <f t="shared" si="20"/>
        <v>46020.264747360001</v>
      </c>
      <c r="N43" s="117"/>
    </row>
    <row r="44" spans="1:14" ht="15.75">
      <c r="A44" s="149">
        <v>6</v>
      </c>
      <c r="B44" s="168" t="s">
        <v>195</v>
      </c>
      <c r="C44" s="132"/>
      <c r="D44" s="129"/>
      <c r="E44" s="138"/>
      <c r="F44" s="145"/>
      <c r="G44" s="177"/>
      <c r="H44" s="178"/>
      <c r="I44" s="133"/>
      <c r="J44" s="139"/>
      <c r="K44" s="179"/>
      <c r="L44" s="179"/>
      <c r="M44" s="179"/>
      <c r="N44" s="117"/>
    </row>
    <row r="45" spans="1:14" ht="15.75">
      <c r="A45" s="165">
        <f>A44+0.01</f>
        <v>6.01</v>
      </c>
      <c r="B45" s="158" t="s">
        <v>196</v>
      </c>
      <c r="C45" s="132">
        <v>120</v>
      </c>
      <c r="D45" s="167" t="s">
        <v>45</v>
      </c>
      <c r="E45" s="159">
        <v>17817.580000000002</v>
      </c>
      <c r="F45" s="151">
        <f>C45*E45</f>
        <v>2138109.6</v>
      </c>
      <c r="G45" s="161">
        <v>7.20974</v>
      </c>
      <c r="H45" s="180">
        <v>106.79026</v>
      </c>
      <c r="I45" s="133">
        <f t="shared" ref="I45:I46" si="21">G45+H45</f>
        <v>114</v>
      </c>
      <c r="J45" s="139">
        <f t="shared" ref="J45:J46" si="22">I45/C45</f>
        <v>0.95</v>
      </c>
      <c r="K45" s="140">
        <f>G45*E45</f>
        <v>128460.11922920002</v>
      </c>
      <c r="L45" s="153">
        <f>H45*E45</f>
        <v>1902744.0007708003</v>
      </c>
      <c r="M45" s="141">
        <f>K45+L45</f>
        <v>2031204.1200000003</v>
      </c>
      <c r="N45" s="117"/>
    </row>
    <row r="46" spans="1:14">
      <c r="A46" s="165">
        <f t="shared" ref="A46:A47" si="23">A45+0.01</f>
        <v>6.02</v>
      </c>
      <c r="B46" s="158" t="s">
        <v>197</v>
      </c>
      <c r="C46" s="132">
        <v>5</v>
      </c>
      <c r="D46" s="167" t="s">
        <v>45</v>
      </c>
      <c r="E46" s="151">
        <v>62224.078000000001</v>
      </c>
      <c r="F46" s="151">
        <f>C46*E46</f>
        <v>311120.39</v>
      </c>
      <c r="G46" s="161">
        <v>2.6395940000000002</v>
      </c>
      <c r="H46" s="180">
        <f>C46-G46</f>
        <v>2.3604059999999998</v>
      </c>
      <c r="I46" s="133">
        <f t="shared" si="21"/>
        <v>5</v>
      </c>
      <c r="J46" s="139">
        <f t="shared" si="22"/>
        <v>1</v>
      </c>
      <c r="K46" s="140">
        <f>G46*E46</f>
        <v>164246.30294433201</v>
      </c>
      <c r="L46" s="153">
        <f>H46*E46</f>
        <v>146874.087055668</v>
      </c>
      <c r="M46" s="141">
        <f>K46+L46</f>
        <v>311120.39</v>
      </c>
    </row>
    <row r="47" spans="1:14" ht="15.75">
      <c r="A47" s="165">
        <f t="shared" si="23"/>
        <v>6.0299999999999994</v>
      </c>
      <c r="B47" s="158" t="s">
        <v>198</v>
      </c>
      <c r="C47" s="132">
        <v>17</v>
      </c>
      <c r="D47" s="167" t="s">
        <v>45</v>
      </c>
      <c r="E47" s="151">
        <v>275</v>
      </c>
      <c r="F47" s="151">
        <f>C47*E47</f>
        <v>4675</v>
      </c>
      <c r="G47" s="177"/>
      <c r="H47" s="181"/>
      <c r="I47" s="133"/>
      <c r="J47" s="139"/>
      <c r="K47" s="179"/>
      <c r="L47" s="153"/>
      <c r="M47" s="141"/>
      <c r="N47" s="117"/>
    </row>
    <row r="48" spans="1:14">
      <c r="A48" s="166"/>
      <c r="B48" s="168" t="s">
        <v>199</v>
      </c>
      <c r="C48" s="131"/>
      <c r="D48" s="131"/>
      <c r="E48" s="129"/>
      <c r="F48" s="182">
        <f>SUM(F45:F46)</f>
        <v>2449229.9900000002</v>
      </c>
      <c r="G48" s="177"/>
      <c r="H48" s="178"/>
      <c r="I48" s="133"/>
      <c r="J48" s="139"/>
      <c r="K48" s="147">
        <f>SUM(K45:K47)</f>
        <v>292706.42217353202</v>
      </c>
      <c r="L48" s="147">
        <f>SUM(L45:L47)</f>
        <v>2049618.0878264683</v>
      </c>
      <c r="M48" s="183">
        <f>K48+L48</f>
        <v>2342324.5100000002</v>
      </c>
    </row>
    <row r="49" spans="1:15" ht="15.75">
      <c r="A49" s="157">
        <v>7</v>
      </c>
      <c r="B49" s="136" t="s">
        <v>200</v>
      </c>
      <c r="C49" s="131"/>
      <c r="D49" s="131"/>
      <c r="E49" s="129"/>
      <c r="F49" s="182"/>
      <c r="G49" s="177"/>
      <c r="H49" s="178"/>
      <c r="I49" s="133"/>
      <c r="J49" s="139"/>
      <c r="K49" s="179"/>
      <c r="L49" s="179"/>
      <c r="M49" s="179"/>
      <c r="N49" s="117"/>
    </row>
    <row r="50" spans="1:15" ht="15.75">
      <c r="A50" s="165">
        <f>A49+0.01</f>
        <v>7.01</v>
      </c>
      <c r="B50" s="136" t="s">
        <v>201</v>
      </c>
      <c r="C50" s="167">
        <v>1.68</v>
      </c>
      <c r="D50" s="167" t="s">
        <v>36</v>
      </c>
      <c r="E50" s="151">
        <v>10431.5</v>
      </c>
      <c r="F50" s="151">
        <f>C50*E50</f>
        <v>17524.919999999998</v>
      </c>
      <c r="G50" s="177"/>
      <c r="H50" s="181">
        <f>C50</f>
        <v>1.68</v>
      </c>
      <c r="I50" s="133">
        <f t="shared" ref="I50" si="24">G50+H50</f>
        <v>1.68</v>
      </c>
      <c r="J50" s="139">
        <f t="shared" ref="J50" si="25">I50/C50</f>
        <v>1</v>
      </c>
      <c r="K50" s="179"/>
      <c r="L50" s="153">
        <f>H50*E50</f>
        <v>17524.919999999998</v>
      </c>
      <c r="M50" s="141">
        <f>K50+L50</f>
        <v>17524.919999999998</v>
      </c>
      <c r="N50" s="117"/>
      <c r="O50" s="184"/>
    </row>
    <row r="51" spans="1:15" ht="15.75">
      <c r="A51" s="166"/>
      <c r="B51" s="143" t="s">
        <v>202</v>
      </c>
      <c r="C51" s="131"/>
      <c r="D51" s="131"/>
      <c r="E51" s="129"/>
      <c r="F51" s="182">
        <f>SUM(F50)</f>
        <v>17524.919999999998</v>
      </c>
      <c r="G51" s="177"/>
      <c r="H51" s="178"/>
      <c r="I51" s="133"/>
      <c r="J51" s="139"/>
      <c r="K51" s="179"/>
      <c r="L51" s="147">
        <f>SUM(L50)</f>
        <v>17524.919999999998</v>
      </c>
      <c r="M51" s="148">
        <f>K51+L51</f>
        <v>17524.919999999998</v>
      </c>
      <c r="N51" s="117"/>
    </row>
    <row r="52" spans="1:15" ht="15.75">
      <c r="A52" s="149">
        <v>8</v>
      </c>
      <c r="B52" s="143" t="s">
        <v>203</v>
      </c>
      <c r="C52" s="131"/>
      <c r="D52" s="131"/>
      <c r="E52" s="129"/>
      <c r="F52" s="185"/>
      <c r="G52" s="177"/>
      <c r="H52" s="178"/>
      <c r="I52" s="133"/>
      <c r="J52" s="139"/>
      <c r="K52" s="179"/>
      <c r="L52" s="179"/>
      <c r="M52" s="179"/>
      <c r="N52" s="117"/>
    </row>
    <row r="53" spans="1:15" ht="15.75">
      <c r="A53" s="165">
        <f>A52+0.01</f>
        <v>8.01</v>
      </c>
      <c r="B53" s="136" t="s">
        <v>204</v>
      </c>
      <c r="C53" s="167">
        <v>4</v>
      </c>
      <c r="D53" s="167" t="s">
        <v>78</v>
      </c>
      <c r="E53" s="151">
        <v>3200</v>
      </c>
      <c r="F53" s="151">
        <f>C53*E53</f>
        <v>12800</v>
      </c>
      <c r="G53" s="177"/>
      <c r="H53" s="181">
        <f>C53</f>
        <v>4</v>
      </c>
      <c r="I53" s="133">
        <f t="shared" ref="I53:I57" si="26">G53+H53</f>
        <v>4</v>
      </c>
      <c r="J53" s="139">
        <f t="shared" ref="J53:J57" si="27">I53/C53</f>
        <v>1</v>
      </c>
      <c r="K53" s="179"/>
      <c r="L53" s="153">
        <f>H53*E53</f>
        <v>12800</v>
      </c>
      <c r="M53" s="141">
        <f>K53+L53</f>
        <v>12800</v>
      </c>
      <c r="N53" s="117"/>
      <c r="O53" s="110"/>
    </row>
    <row r="54" spans="1:15" ht="15.75">
      <c r="A54" s="165">
        <f>A53+0.01</f>
        <v>8.02</v>
      </c>
      <c r="B54" s="136" t="s">
        <v>205</v>
      </c>
      <c r="C54" s="167">
        <v>1</v>
      </c>
      <c r="D54" s="167" t="s">
        <v>32</v>
      </c>
      <c r="E54" s="151">
        <v>20000</v>
      </c>
      <c r="F54" s="151">
        <f t="shared" ref="F54:F57" si="28">C54*E54</f>
        <v>20000</v>
      </c>
      <c r="G54" s="177"/>
      <c r="H54" s="181">
        <f t="shared" ref="H54:H57" si="29">C54</f>
        <v>1</v>
      </c>
      <c r="I54" s="133">
        <f t="shared" si="26"/>
        <v>1</v>
      </c>
      <c r="J54" s="139">
        <f t="shared" si="27"/>
        <v>1</v>
      </c>
      <c r="K54" s="179"/>
      <c r="L54" s="153">
        <f t="shared" ref="L54:L57" si="30">H54*E54</f>
        <v>20000</v>
      </c>
      <c r="M54" s="141">
        <f t="shared" ref="M54:M59" si="31">K54+L54</f>
        <v>20000</v>
      </c>
      <c r="N54" s="117"/>
    </row>
    <row r="55" spans="1:15" ht="15.75">
      <c r="A55" s="165">
        <f>A54+0.01</f>
        <v>8.0299999999999994</v>
      </c>
      <c r="B55" s="136" t="s">
        <v>206</v>
      </c>
      <c r="C55" s="167">
        <v>1</v>
      </c>
      <c r="D55" s="167" t="s">
        <v>78</v>
      </c>
      <c r="E55" s="151">
        <v>15000</v>
      </c>
      <c r="F55" s="151">
        <f t="shared" si="28"/>
        <v>15000</v>
      </c>
      <c r="G55" s="177"/>
      <c r="H55" s="181">
        <f t="shared" si="29"/>
        <v>1</v>
      </c>
      <c r="I55" s="133">
        <f t="shared" si="26"/>
        <v>1</v>
      </c>
      <c r="J55" s="139">
        <f t="shared" si="27"/>
        <v>1</v>
      </c>
      <c r="K55" s="179"/>
      <c r="L55" s="153">
        <f t="shared" si="30"/>
        <v>15000</v>
      </c>
      <c r="M55" s="141">
        <f t="shared" si="31"/>
        <v>15000</v>
      </c>
      <c r="N55" s="117"/>
    </row>
    <row r="56" spans="1:15" ht="15.75">
      <c r="A56" s="165">
        <f t="shared" ref="A56:A57" si="32">A55+0.01</f>
        <v>8.0399999999999991</v>
      </c>
      <c r="B56" s="158" t="s">
        <v>207</v>
      </c>
      <c r="C56" s="132">
        <v>20</v>
      </c>
      <c r="D56" s="167" t="s">
        <v>58</v>
      </c>
      <c r="E56" s="151">
        <v>1960</v>
      </c>
      <c r="F56" s="151">
        <f t="shared" si="28"/>
        <v>39200</v>
      </c>
      <c r="G56" s="177"/>
      <c r="H56" s="181">
        <f t="shared" si="29"/>
        <v>20</v>
      </c>
      <c r="I56" s="133">
        <f t="shared" si="26"/>
        <v>20</v>
      </c>
      <c r="J56" s="139">
        <f t="shared" si="27"/>
        <v>1</v>
      </c>
      <c r="K56" s="179"/>
      <c r="L56" s="153">
        <f t="shared" si="30"/>
        <v>39200</v>
      </c>
      <c r="M56" s="141">
        <f t="shared" si="31"/>
        <v>39200</v>
      </c>
      <c r="N56" s="117"/>
    </row>
    <row r="57" spans="1:15" ht="15.75">
      <c r="A57" s="165">
        <f t="shared" si="32"/>
        <v>8.0499999999999989</v>
      </c>
      <c r="B57" s="186" t="s">
        <v>208</v>
      </c>
      <c r="C57" s="167">
        <v>5.31</v>
      </c>
      <c r="D57" s="167" t="s">
        <v>36</v>
      </c>
      <c r="E57" s="163">
        <v>7265.25</v>
      </c>
      <c r="F57" s="151">
        <f t="shared" si="28"/>
        <v>38578.477499999994</v>
      </c>
      <c r="G57" s="177"/>
      <c r="H57" s="181">
        <f t="shared" si="29"/>
        <v>5.31</v>
      </c>
      <c r="I57" s="133">
        <f t="shared" si="26"/>
        <v>5.31</v>
      </c>
      <c r="J57" s="139">
        <f t="shared" si="27"/>
        <v>1</v>
      </c>
      <c r="K57" s="179"/>
      <c r="L57" s="153">
        <f t="shared" si="30"/>
        <v>38578.477499999994</v>
      </c>
      <c r="M57" s="141">
        <f t="shared" si="31"/>
        <v>38578.477499999994</v>
      </c>
      <c r="N57" s="117"/>
    </row>
    <row r="58" spans="1:15" ht="15.75">
      <c r="A58" s="166"/>
      <c r="B58" s="143" t="s">
        <v>209</v>
      </c>
      <c r="C58" s="131"/>
      <c r="D58" s="131"/>
      <c r="E58" s="129"/>
      <c r="F58" s="187">
        <f>SUM(F53:F57)</f>
        <v>125578.47749999999</v>
      </c>
      <c r="G58" s="177"/>
      <c r="H58" s="178"/>
      <c r="I58" s="133"/>
      <c r="J58" s="139"/>
      <c r="K58" s="179"/>
      <c r="L58" s="147">
        <f>SUM(L53:L57)</f>
        <v>125578.47749999999</v>
      </c>
      <c r="M58" s="147">
        <f t="shared" si="31"/>
        <v>125578.47749999999</v>
      </c>
      <c r="N58" s="117"/>
    </row>
    <row r="59" spans="1:15" ht="15.75">
      <c r="A59" s="188"/>
      <c r="B59" s="9" t="s">
        <v>210</v>
      </c>
      <c r="C59" s="189"/>
      <c r="D59" s="189"/>
      <c r="E59" s="117"/>
      <c r="F59" s="190">
        <f>F58++F51+F48+F43+F36+F31+F12</f>
        <v>15150196.28939596</v>
      </c>
      <c r="G59" s="191"/>
      <c r="H59" s="117"/>
      <c r="I59" s="192"/>
      <c r="J59" s="193"/>
      <c r="K59" s="194">
        <f>K48+K43+K31+K12+K19</f>
        <v>9747449.5298136547</v>
      </c>
      <c r="L59" s="194">
        <f>L58+L51+L48+L36+L31+L11</f>
        <v>5043456.7509229686</v>
      </c>
      <c r="M59" s="195">
        <f t="shared" si="31"/>
        <v>14790906.280736623</v>
      </c>
      <c r="N59" s="117"/>
    </row>
    <row r="60" spans="1:15" ht="15.75">
      <c r="A60" s="188"/>
      <c r="B60" s="196" t="s">
        <v>211</v>
      </c>
      <c r="G60" s="191"/>
      <c r="H60" s="117"/>
      <c r="I60" s="117"/>
      <c r="J60" s="117"/>
      <c r="K60" s="117"/>
      <c r="L60" s="117"/>
      <c r="M60" s="117"/>
      <c r="N60" s="117"/>
    </row>
    <row r="61" spans="1:15" ht="15.75">
      <c r="A61" s="188"/>
      <c r="B61" t="s">
        <v>212</v>
      </c>
      <c r="L61" s="117"/>
      <c r="M61" s="117"/>
      <c r="N61" s="117"/>
    </row>
    <row r="62" spans="1:15" ht="24.75">
      <c r="A62" s="197">
        <v>8</v>
      </c>
      <c r="B62" s="198" t="s">
        <v>213</v>
      </c>
      <c r="C62" s="199"/>
      <c r="D62" s="200"/>
      <c r="E62" s="200"/>
      <c r="F62" s="201"/>
      <c r="G62" s="154"/>
      <c r="H62" s="154"/>
      <c r="I62" s="202"/>
      <c r="J62" s="203"/>
      <c r="K62" s="204"/>
      <c r="L62" s="205"/>
      <c r="M62" s="205"/>
      <c r="N62" s="117"/>
    </row>
    <row r="63" spans="1:15" ht="15.75">
      <c r="A63" s="206">
        <f>A62+0.01</f>
        <v>8.01</v>
      </c>
      <c r="B63" s="207" t="s">
        <v>190</v>
      </c>
      <c r="C63" s="199">
        <v>20</v>
      </c>
      <c r="D63" s="200" t="s">
        <v>78</v>
      </c>
      <c r="E63" s="200">
        <v>40603.467799999999</v>
      </c>
      <c r="F63" s="208">
        <f t="shared" ref="F63" si="33">C63*E63</f>
        <v>812069.35599999991</v>
      </c>
      <c r="G63" s="154">
        <v>20</v>
      </c>
      <c r="H63" s="154">
        <v>-14</v>
      </c>
      <c r="I63" s="209">
        <f t="shared" ref="I63" si="34">G63+H63</f>
        <v>6</v>
      </c>
      <c r="J63" s="210">
        <f>I63/C63</f>
        <v>0.3</v>
      </c>
      <c r="K63" s="211">
        <f>G63*E63</f>
        <v>812069.35599999991</v>
      </c>
      <c r="L63" s="211">
        <f>H63*E63</f>
        <v>-568448.54920000001</v>
      </c>
      <c r="M63" s="141">
        <f t="shared" ref="M63:M64" si="35">K63+L63</f>
        <v>243620.8067999999</v>
      </c>
      <c r="N63" s="117"/>
    </row>
    <row r="64" spans="1:15" ht="15.75">
      <c r="A64" s="212"/>
      <c r="B64" s="213" t="s">
        <v>191</v>
      </c>
      <c r="C64" s="199"/>
      <c r="D64" s="214"/>
      <c r="E64" s="201"/>
      <c r="F64" s="215">
        <f>SUM(F63:F63)</f>
        <v>812069.35599999991</v>
      </c>
      <c r="G64" s="154"/>
      <c r="H64" s="154"/>
      <c r="I64" s="216"/>
      <c r="J64" s="203"/>
      <c r="K64" s="217">
        <f>SUM(K63)</f>
        <v>812069.35599999991</v>
      </c>
      <c r="L64" s="217">
        <f>SUM(L63)</f>
        <v>-568448.54920000001</v>
      </c>
      <c r="M64" s="148">
        <f t="shared" si="35"/>
        <v>243620.8067999999</v>
      </c>
      <c r="N64" s="117"/>
    </row>
    <row r="65" spans="1:17" ht="15.75">
      <c r="A65" s="197">
        <v>2</v>
      </c>
      <c r="B65" s="218" t="s">
        <v>169</v>
      </c>
      <c r="C65" s="219"/>
      <c r="D65" s="220"/>
      <c r="E65" s="221"/>
      <c r="F65" s="208"/>
      <c r="G65" s="154"/>
      <c r="H65" s="154"/>
      <c r="I65" s="216"/>
      <c r="J65" s="203"/>
      <c r="K65" s="222"/>
      <c r="L65" s="222"/>
      <c r="M65" s="222"/>
      <c r="N65" s="117"/>
    </row>
    <row r="66" spans="1:17" ht="15.75">
      <c r="A66" s="223">
        <f>A65+0.01</f>
        <v>2.0099999999999998</v>
      </c>
      <c r="B66" s="224" t="s">
        <v>170</v>
      </c>
      <c r="C66" s="200">
        <v>125</v>
      </c>
      <c r="D66" s="225" t="s">
        <v>36</v>
      </c>
      <c r="E66" s="219">
        <v>295.82554800000003</v>
      </c>
      <c r="F66" s="226">
        <f t="shared" ref="F66:F70" si="36">C66*E66</f>
        <v>36978.193500000001</v>
      </c>
      <c r="G66" s="154">
        <v>125</v>
      </c>
      <c r="H66" s="154">
        <f>-C66</f>
        <v>-125</v>
      </c>
      <c r="I66" s="227">
        <f t="shared" ref="I66:I70" si="37">G66+H66</f>
        <v>0</v>
      </c>
      <c r="J66" s="210">
        <f>I66/C66</f>
        <v>0</v>
      </c>
      <c r="K66" s="211">
        <f>G66*E66</f>
        <v>36978.193500000001</v>
      </c>
      <c r="L66" s="211">
        <f>H66*E66</f>
        <v>-36978.193500000001</v>
      </c>
      <c r="M66" s="228">
        <f t="shared" ref="M66:M72" si="38">K66+L66</f>
        <v>0</v>
      </c>
      <c r="N66" s="117"/>
    </row>
    <row r="67" spans="1:17" ht="15.75">
      <c r="A67" s="223">
        <f t="shared" ref="A67:A70" si="39">A66+0.01</f>
        <v>2.0199999999999996</v>
      </c>
      <c r="B67" s="224" t="s">
        <v>171</v>
      </c>
      <c r="C67" s="200">
        <v>20</v>
      </c>
      <c r="D67" s="225" t="s">
        <v>36</v>
      </c>
      <c r="E67" s="219">
        <v>1694.1146000000001</v>
      </c>
      <c r="F67" s="226">
        <f t="shared" si="36"/>
        <v>33882.292000000001</v>
      </c>
      <c r="G67" s="154">
        <v>20</v>
      </c>
      <c r="H67" s="154">
        <f t="shared" ref="H67:H70" si="40">-C67</f>
        <v>-20</v>
      </c>
      <c r="I67" s="227">
        <f t="shared" si="37"/>
        <v>0</v>
      </c>
      <c r="J67" s="210">
        <f t="shared" ref="J67:J70" si="41">I67/C67</f>
        <v>0</v>
      </c>
      <c r="K67" s="211">
        <f t="shared" ref="K67:K70" si="42">G67*E67</f>
        <v>33882.292000000001</v>
      </c>
      <c r="L67" s="211">
        <f t="shared" ref="L67:L70" si="43">H67*E67</f>
        <v>-33882.292000000001</v>
      </c>
      <c r="M67" s="228">
        <f t="shared" si="38"/>
        <v>0</v>
      </c>
      <c r="N67" s="117"/>
    </row>
    <row r="68" spans="1:17" ht="15.75">
      <c r="A68" s="223">
        <f t="shared" si="39"/>
        <v>2.0299999999999994</v>
      </c>
      <c r="B68" s="224" t="s">
        <v>50</v>
      </c>
      <c r="C68" s="200">
        <v>150</v>
      </c>
      <c r="D68" s="225" t="s">
        <v>36</v>
      </c>
      <c r="E68" s="219">
        <v>235.41</v>
      </c>
      <c r="F68" s="226">
        <f t="shared" si="36"/>
        <v>35311.5</v>
      </c>
      <c r="G68" s="154">
        <v>150</v>
      </c>
      <c r="H68" s="154">
        <f t="shared" si="40"/>
        <v>-150</v>
      </c>
      <c r="I68" s="227">
        <f t="shared" si="37"/>
        <v>0</v>
      </c>
      <c r="J68" s="210">
        <f t="shared" si="41"/>
        <v>0</v>
      </c>
      <c r="K68" s="211">
        <f t="shared" si="42"/>
        <v>35311.5</v>
      </c>
      <c r="L68" s="211">
        <f t="shared" si="43"/>
        <v>-35311.5</v>
      </c>
      <c r="M68" s="228">
        <f t="shared" si="38"/>
        <v>0</v>
      </c>
      <c r="N68" s="117"/>
    </row>
    <row r="69" spans="1:17" ht="36.75">
      <c r="A69" s="223">
        <f t="shared" si="39"/>
        <v>2.0399999999999991</v>
      </c>
      <c r="B69" s="224" t="s">
        <v>172</v>
      </c>
      <c r="C69" s="200">
        <v>90</v>
      </c>
      <c r="D69" s="225" t="s">
        <v>36</v>
      </c>
      <c r="E69" s="219">
        <v>636.02398000000005</v>
      </c>
      <c r="F69" s="226">
        <f t="shared" si="36"/>
        <v>57242.158200000005</v>
      </c>
      <c r="G69" s="154">
        <v>90</v>
      </c>
      <c r="H69" s="154">
        <f t="shared" si="40"/>
        <v>-90</v>
      </c>
      <c r="I69" s="227">
        <f t="shared" si="37"/>
        <v>0</v>
      </c>
      <c r="J69" s="210">
        <f t="shared" si="41"/>
        <v>0</v>
      </c>
      <c r="K69" s="211">
        <f t="shared" si="42"/>
        <v>57242.158200000005</v>
      </c>
      <c r="L69" s="211">
        <f t="shared" si="43"/>
        <v>-57242.158200000005</v>
      </c>
      <c r="M69" s="228">
        <f t="shared" si="38"/>
        <v>0</v>
      </c>
      <c r="N69" s="117"/>
    </row>
    <row r="70" spans="1:17" ht="24.75">
      <c r="A70" s="223">
        <f t="shared" si="39"/>
        <v>2.0499999999999989</v>
      </c>
      <c r="B70" s="224" t="s">
        <v>173</v>
      </c>
      <c r="C70" s="200">
        <v>57.5</v>
      </c>
      <c r="D70" s="225" t="s">
        <v>36</v>
      </c>
      <c r="E70" s="219">
        <v>84.764949999999999</v>
      </c>
      <c r="F70" s="226">
        <f t="shared" si="36"/>
        <v>4873.9846250000001</v>
      </c>
      <c r="G70" s="154">
        <v>57.5</v>
      </c>
      <c r="H70" s="154">
        <f t="shared" si="40"/>
        <v>-57.5</v>
      </c>
      <c r="I70" s="227">
        <f t="shared" si="37"/>
        <v>0</v>
      </c>
      <c r="J70" s="210">
        <f t="shared" si="41"/>
        <v>0</v>
      </c>
      <c r="K70" s="211">
        <f t="shared" si="42"/>
        <v>4873.9846250000001</v>
      </c>
      <c r="L70" s="211">
        <f t="shared" si="43"/>
        <v>-4873.9846250000001</v>
      </c>
      <c r="M70" s="228">
        <f t="shared" si="38"/>
        <v>0</v>
      </c>
      <c r="N70" s="117"/>
    </row>
    <row r="71" spans="1:17" ht="15.75">
      <c r="A71" s="229"/>
      <c r="B71" s="230" t="s">
        <v>174</v>
      </c>
      <c r="C71" s="219"/>
      <c r="D71" s="220"/>
      <c r="E71" s="221"/>
      <c r="F71" s="231">
        <f>SUM(F66:F70)</f>
        <v>168288.12832500003</v>
      </c>
      <c r="G71" s="154"/>
      <c r="H71" s="154"/>
      <c r="I71" s="216"/>
      <c r="J71" s="203"/>
      <c r="K71" s="217">
        <f>SUM(K66:K70)</f>
        <v>168288.12832500003</v>
      </c>
      <c r="L71" s="217">
        <f>SUM(L66:L70)</f>
        <v>-168288.12832500003</v>
      </c>
      <c r="M71" s="211">
        <f t="shared" si="38"/>
        <v>0</v>
      </c>
      <c r="N71" s="117"/>
    </row>
    <row r="72" spans="1:17" ht="15.75">
      <c r="A72" s="101"/>
      <c r="B72" s="232"/>
      <c r="C72" s="233"/>
      <c r="D72" s="234"/>
      <c r="E72" s="235"/>
      <c r="F72" s="234"/>
      <c r="G72" s="191"/>
      <c r="H72" s="117"/>
      <c r="I72" s="117"/>
      <c r="J72" s="117"/>
      <c r="K72" s="236">
        <f>K59+K64+K71</f>
        <v>10727807.014138656</v>
      </c>
      <c r="L72" s="236">
        <f>L59+L64+L71</f>
        <v>4306720.073397968</v>
      </c>
      <c r="M72" s="236">
        <f t="shared" si="38"/>
        <v>15034527.087536624</v>
      </c>
      <c r="N72" s="117"/>
    </row>
    <row r="75" spans="1:17">
      <c r="B75" s="1111" t="s">
        <v>0</v>
      </c>
      <c r="C75" s="1111"/>
      <c r="D75" s="1111"/>
      <c r="E75" s="1111"/>
      <c r="F75" s="1111"/>
      <c r="G75" s="1111"/>
      <c r="H75" s="1111"/>
      <c r="I75" s="1111"/>
      <c r="J75" s="1111"/>
      <c r="K75" s="1111"/>
      <c r="L75" s="1111"/>
      <c r="M75" s="1111"/>
      <c r="N75" s="1111"/>
    </row>
    <row r="76" spans="1:17">
      <c r="B76" s="1121" t="s">
        <v>1</v>
      </c>
      <c r="C76" s="1121"/>
      <c r="D76" s="1121"/>
      <c r="E76" s="1121"/>
      <c r="F76" s="1121"/>
      <c r="G76" s="1121"/>
      <c r="H76" s="1121"/>
      <c r="I76" s="1121"/>
      <c r="J76" s="1121"/>
      <c r="K76" s="1121"/>
      <c r="L76" s="1121"/>
      <c r="M76" s="1121"/>
      <c r="N76" s="1121"/>
    </row>
    <row r="77" spans="1:17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37"/>
      <c r="N77" s="2"/>
    </row>
    <row r="78" spans="1:17">
      <c r="J78" s="4"/>
      <c r="K78" s="4"/>
      <c r="L78" s="5" t="s">
        <v>5</v>
      </c>
      <c r="M78" s="8">
        <v>14716402.93</v>
      </c>
      <c r="O78" s="4"/>
      <c r="P78" s="5"/>
      <c r="Q78" s="8"/>
    </row>
    <row r="79" spans="1:17">
      <c r="B79" s="5" t="s">
        <v>3</v>
      </c>
      <c r="C79" s="1139" t="s">
        <v>214</v>
      </c>
      <c r="D79" s="1139"/>
      <c r="E79" s="1139"/>
      <c r="F79" s="1139"/>
      <c r="G79" s="1139"/>
      <c r="H79" s="1139"/>
      <c r="I79" s="1139"/>
      <c r="J79" s="4"/>
      <c r="K79" s="4"/>
      <c r="L79" s="5" t="s">
        <v>8</v>
      </c>
      <c r="M79" s="8">
        <v>2943280.59</v>
      </c>
      <c r="N79" s="238"/>
      <c r="O79" s="4"/>
      <c r="P79" s="5"/>
      <c r="Q79" s="8"/>
    </row>
    <row r="80" spans="1:17">
      <c r="B80" s="5" t="s">
        <v>7</v>
      </c>
      <c r="C80" s="9">
        <v>3</v>
      </c>
      <c r="D80" s="4"/>
      <c r="E80" s="6"/>
      <c r="F80" s="6"/>
      <c r="G80" s="6"/>
      <c r="H80" s="4"/>
      <c r="I80" s="4"/>
      <c r="J80" s="4"/>
      <c r="L80" s="6" t="s">
        <v>158</v>
      </c>
      <c r="M80" s="8" t="s">
        <v>159</v>
      </c>
      <c r="N80" s="238"/>
      <c r="O80" s="4"/>
      <c r="P80" s="5"/>
      <c r="Q80" s="8"/>
    </row>
    <row r="81" spans="2:17">
      <c r="B81" s="5" t="s">
        <v>9</v>
      </c>
      <c r="C81" s="6" t="s">
        <v>160</v>
      </c>
      <c r="D81" s="6"/>
      <c r="E81" s="6"/>
      <c r="F81" s="6"/>
      <c r="G81" s="10"/>
      <c r="H81" s="4"/>
      <c r="I81" s="4"/>
      <c r="J81" s="4"/>
      <c r="K81" s="4"/>
      <c r="L81" s="5" t="s">
        <v>11</v>
      </c>
      <c r="M81" s="11" t="s">
        <v>162</v>
      </c>
      <c r="N81" s="239"/>
      <c r="P81" s="6"/>
    </row>
    <row r="82" spans="2:17">
      <c r="B82" s="5" t="s">
        <v>13</v>
      </c>
      <c r="C82" s="6" t="s">
        <v>163</v>
      </c>
      <c r="D82" s="6"/>
      <c r="E82" s="6"/>
      <c r="F82" s="6"/>
      <c r="G82" s="6"/>
      <c r="H82" s="4"/>
      <c r="I82" s="4"/>
      <c r="J82" s="1140"/>
      <c r="K82" s="1140"/>
      <c r="L82" s="4"/>
      <c r="M82" s="4"/>
      <c r="N82" s="239"/>
      <c r="P82" s="5"/>
      <c r="Q82" s="11"/>
    </row>
    <row r="83" spans="2:17">
      <c r="B83" s="5"/>
      <c r="C83" s="6"/>
      <c r="D83" s="6"/>
      <c r="E83" s="1111" t="s">
        <v>21</v>
      </c>
      <c r="F83" s="1111"/>
      <c r="G83" s="240"/>
      <c r="H83" s="1123" t="s">
        <v>24</v>
      </c>
      <c r="I83" s="1123"/>
      <c r="J83" s="1111" t="s">
        <v>25</v>
      </c>
      <c r="K83" s="1111"/>
      <c r="L83" s="1111" t="s">
        <v>26</v>
      </c>
      <c r="M83" s="1111"/>
      <c r="N83" s="239"/>
    </row>
    <row r="84" spans="2:17">
      <c r="B84" s="5"/>
      <c r="C84" s="6"/>
      <c r="D84" s="6"/>
      <c r="E84" s="1132">
        <f>F59</f>
        <v>15150196.28939596</v>
      </c>
      <c r="F84" s="1132"/>
      <c r="G84" s="242"/>
      <c r="H84" s="1132">
        <f>K72</f>
        <v>10727807.014138656</v>
      </c>
      <c r="I84" s="1132"/>
      <c r="J84" s="1132">
        <f>L72</f>
        <v>4306720.073397968</v>
      </c>
      <c r="K84" s="1132"/>
      <c r="L84" s="1132">
        <f>H84+J84</f>
        <v>15034527.087536624</v>
      </c>
      <c r="M84" s="1132"/>
      <c r="N84" s="239"/>
    </row>
    <row r="85" spans="2:17">
      <c r="B85" s="9" t="s">
        <v>210</v>
      </c>
      <c r="C85" s="6"/>
      <c r="D85" s="6"/>
      <c r="E85" s="184"/>
      <c r="F85" s="184"/>
      <c r="G85" s="184"/>
      <c r="H85" s="243"/>
      <c r="I85" s="243"/>
      <c r="J85" s="243"/>
      <c r="K85" s="243"/>
      <c r="L85" s="243"/>
      <c r="M85" s="243"/>
      <c r="N85" s="239"/>
    </row>
    <row r="86" spans="2:17">
      <c r="B86" s="9" t="s">
        <v>215</v>
      </c>
      <c r="C86" s="6"/>
      <c r="E86" s="244"/>
      <c r="F86" s="244"/>
      <c r="G86" s="244"/>
      <c r="H86" s="243"/>
      <c r="I86" s="243"/>
      <c r="J86" s="243"/>
      <c r="K86" s="243"/>
      <c r="L86" s="243"/>
      <c r="M86" s="243"/>
    </row>
    <row r="87" spans="2:17">
      <c r="B87" s="9" t="s">
        <v>133</v>
      </c>
      <c r="C87" s="94"/>
      <c r="D87" s="94"/>
      <c r="E87" s="1120"/>
      <c r="F87" s="1120"/>
      <c r="G87" s="245"/>
      <c r="H87" s="243"/>
      <c r="I87" s="243"/>
      <c r="J87" s="243"/>
      <c r="K87" s="243"/>
      <c r="L87" s="243"/>
      <c r="M87" s="243"/>
      <c r="N87" s="239"/>
    </row>
    <row r="88" spans="2:17">
      <c r="B88" s="6" t="s">
        <v>134</v>
      </c>
      <c r="C88" s="94"/>
      <c r="D88" s="96">
        <v>3.5000000000000003E-2</v>
      </c>
      <c r="E88" s="1120">
        <f>D88*E84</f>
        <v>530256.8701288586</v>
      </c>
      <c r="F88" s="1120"/>
      <c r="G88" s="245"/>
      <c r="H88" s="1120">
        <f>D88*H84</f>
        <v>375473.24549485301</v>
      </c>
      <c r="I88" s="1120"/>
      <c r="J88" s="1133">
        <f>J84*D88</f>
        <v>150735.20256892889</v>
      </c>
      <c r="K88" s="1133"/>
      <c r="L88" s="1133">
        <f>J88+H88</f>
        <v>526208.44806378195</v>
      </c>
      <c r="M88" s="1133"/>
      <c r="N88" s="239"/>
    </row>
    <row r="89" spans="2:17">
      <c r="B89" s="6" t="s">
        <v>135</v>
      </c>
      <c r="C89" s="94"/>
      <c r="D89" s="98">
        <v>0.1</v>
      </c>
      <c r="E89" s="1120">
        <f>D89*E84</f>
        <v>1515019.628939596</v>
      </c>
      <c r="F89" s="1120"/>
      <c r="G89" s="245"/>
      <c r="H89" s="1120">
        <f>D89*H84</f>
        <v>1072780.7014138657</v>
      </c>
      <c r="I89" s="1120"/>
      <c r="J89" s="1133">
        <f>J84*D89</f>
        <v>430672.00733979681</v>
      </c>
      <c r="K89" s="1133"/>
      <c r="L89" s="1133">
        <f t="shared" ref="L89:L93" si="44">J89+H89</f>
        <v>1503452.7087536624</v>
      </c>
      <c r="M89" s="1133"/>
      <c r="N89" s="239"/>
    </row>
    <row r="90" spans="2:17">
      <c r="B90" s="6" t="s">
        <v>136</v>
      </c>
      <c r="C90" s="94"/>
      <c r="D90" s="98">
        <v>0.18</v>
      </c>
      <c r="E90" s="1120">
        <f>D90*E89</f>
        <v>272703.53320912726</v>
      </c>
      <c r="F90" s="1120"/>
      <c r="G90" s="245"/>
      <c r="H90" s="1120">
        <f>D90*H89</f>
        <v>193100.52625449581</v>
      </c>
      <c r="I90" s="1120"/>
      <c r="J90" s="1133">
        <f>J89*D90</f>
        <v>77520.961321163428</v>
      </c>
      <c r="K90" s="1133"/>
      <c r="L90" s="1133">
        <f t="shared" si="44"/>
        <v>270621.48757565924</v>
      </c>
      <c r="M90" s="1133"/>
      <c r="N90" s="239"/>
    </row>
    <row r="91" spans="2:17">
      <c r="B91" s="6" t="s">
        <v>137</v>
      </c>
      <c r="C91" s="98"/>
      <c r="D91" s="99">
        <v>0.03</v>
      </c>
      <c r="E91" s="1120">
        <f>D91*E84</f>
        <v>454505.8886818788</v>
      </c>
      <c r="F91" s="1120"/>
      <c r="G91" s="245"/>
      <c r="H91" s="1133">
        <f>D91*H84</f>
        <v>321834.21042415965</v>
      </c>
      <c r="I91" s="1133"/>
      <c r="J91" s="1133">
        <f>J84*D91</f>
        <v>129201.60220193904</v>
      </c>
      <c r="K91" s="1133"/>
      <c r="L91" s="1133">
        <f t="shared" si="44"/>
        <v>451035.81262609869</v>
      </c>
      <c r="M91" s="1133"/>
      <c r="N91" s="239"/>
    </row>
    <row r="92" spans="2:17">
      <c r="B92" s="6" t="s">
        <v>138</v>
      </c>
      <c r="C92" s="94"/>
      <c r="D92" s="94">
        <v>0.02</v>
      </c>
      <c r="E92" s="1120">
        <f>D92*E84</f>
        <v>303003.9257879192</v>
      </c>
      <c r="F92" s="1120"/>
      <c r="G92" s="245"/>
      <c r="H92" s="1133">
        <f>D92*H84</f>
        <v>214556.14028277312</v>
      </c>
      <c r="I92" s="1133"/>
      <c r="J92" s="1133">
        <f>J84*D92</f>
        <v>86134.401467959367</v>
      </c>
      <c r="K92" s="1133"/>
      <c r="L92" s="1133">
        <f t="shared" si="44"/>
        <v>300690.54175073246</v>
      </c>
      <c r="M92" s="1133"/>
      <c r="N92" s="239"/>
    </row>
    <row r="93" spans="2:17">
      <c r="B93" s="6" t="s">
        <v>139</v>
      </c>
      <c r="C93" s="94"/>
      <c r="D93" s="98">
        <v>0.01</v>
      </c>
      <c r="E93" s="1120">
        <f>D93*E84</f>
        <v>151501.9628939596</v>
      </c>
      <c r="F93" s="1120"/>
      <c r="G93" s="245"/>
      <c r="H93" s="1133">
        <f>D93*H84</f>
        <v>107278.07014138656</v>
      </c>
      <c r="I93" s="1133"/>
      <c r="J93" s="1133">
        <f>J84*D93</f>
        <v>43067.200733979684</v>
      </c>
      <c r="K93" s="1133"/>
      <c r="L93" s="1133">
        <f t="shared" si="44"/>
        <v>150345.27087536623</v>
      </c>
      <c r="M93" s="1133"/>
      <c r="N93" s="239"/>
    </row>
    <row r="94" spans="2:17">
      <c r="B94" s="6" t="s">
        <v>140</v>
      </c>
      <c r="C94" s="94"/>
      <c r="D94" s="94">
        <v>1E-3</v>
      </c>
      <c r="E94" s="1120">
        <f>D94*E84</f>
        <v>15150.196289395961</v>
      </c>
      <c r="F94" s="1120"/>
      <c r="G94" s="245"/>
      <c r="H94" s="1120">
        <f>D94*H84</f>
        <v>10727.807014138656</v>
      </c>
      <c r="I94" s="1120"/>
      <c r="J94" s="1133">
        <f>J84*D94</f>
        <v>4306.720073397968</v>
      </c>
      <c r="K94" s="1133"/>
      <c r="L94" s="1133">
        <f>J94+H94</f>
        <v>15034.527087536624</v>
      </c>
      <c r="M94" s="1133"/>
      <c r="N94" s="239"/>
    </row>
    <row r="95" spans="2:17">
      <c r="B95" s="6"/>
      <c r="C95" s="103"/>
      <c r="D95" s="98"/>
      <c r="E95" s="95"/>
      <c r="F95" s="95"/>
      <c r="G95" s="245"/>
      <c r="H95" s="247"/>
      <c r="I95" s="247"/>
      <c r="J95" s="248"/>
      <c r="K95" s="248"/>
      <c r="L95" s="247"/>
      <c r="M95" s="247"/>
      <c r="N95" s="239"/>
    </row>
    <row r="96" spans="2:17">
      <c r="B96" s="102" t="s">
        <v>141</v>
      </c>
      <c r="C96" s="98"/>
      <c r="D96" s="1"/>
      <c r="E96" s="1135">
        <f>SUM(E88:F95)</f>
        <v>3242142.0059307353</v>
      </c>
      <c r="F96" s="1135"/>
      <c r="G96" s="250"/>
      <c r="H96" s="1136">
        <f>SUM(H88:I94)</f>
        <v>2295750.7010256723</v>
      </c>
      <c r="I96" s="1136"/>
      <c r="J96" s="1132">
        <f>SUM(J88:K94)</f>
        <v>921638.09570716531</v>
      </c>
      <c r="K96" s="1132"/>
      <c r="L96" s="1135">
        <f>SUM(L88:M94)</f>
        <v>3217388.7967328378</v>
      </c>
      <c r="M96" s="1135"/>
      <c r="N96" s="114"/>
    </row>
    <row r="97" spans="2:15">
      <c r="B97" s="102"/>
      <c r="C97" s="98"/>
      <c r="D97" s="1"/>
      <c r="E97" s="249"/>
      <c r="F97" s="249"/>
      <c r="G97" s="250"/>
      <c r="H97" s="251"/>
      <c r="I97" s="251"/>
      <c r="J97" s="241"/>
      <c r="K97" s="241"/>
      <c r="L97" s="249"/>
      <c r="M97" s="249"/>
      <c r="N97" s="114"/>
    </row>
    <row r="98" spans="2:15">
      <c r="B98" s="6"/>
      <c r="C98" s="252"/>
      <c r="D98" s="253"/>
      <c r="E98" s="1137"/>
      <c r="F98" s="1137"/>
      <c r="G98" s="245"/>
      <c r="H98" s="1138"/>
      <c r="I98" s="1138"/>
      <c r="J98" s="1138"/>
      <c r="K98" s="1138"/>
      <c r="L98" s="1137"/>
      <c r="M98" s="1137"/>
      <c r="N98" s="239"/>
    </row>
    <row r="99" spans="2:15">
      <c r="B99" s="106" t="s">
        <v>143</v>
      </c>
      <c r="C99" s="107"/>
      <c r="D99" s="3"/>
      <c r="E99" s="1135">
        <f>E84+E96</f>
        <v>18392338.295326695</v>
      </c>
      <c r="F99" s="1135"/>
      <c r="G99" s="254"/>
      <c r="H99" s="1136">
        <f>H84+H96</f>
        <v>13023557.715164328</v>
      </c>
      <c r="I99" s="1136"/>
      <c r="J99" s="1132">
        <f>J96+J84</f>
        <v>5228358.169105133</v>
      </c>
      <c r="K99" s="1132"/>
      <c r="L99" s="1136">
        <f>H99+J99</f>
        <v>18251915.884269461</v>
      </c>
      <c r="M99" s="1136"/>
      <c r="N99" s="239"/>
    </row>
    <row r="100" spans="2:15">
      <c r="B100" s="108" t="s">
        <v>144</v>
      </c>
      <c r="C100" s="98"/>
      <c r="E100" s="243"/>
      <c r="F100" s="243"/>
      <c r="G100" s="243"/>
      <c r="H100" s="243"/>
      <c r="I100" s="243"/>
      <c r="J100" s="243"/>
      <c r="K100" s="243"/>
      <c r="L100" s="243"/>
      <c r="M100" s="243"/>
      <c r="N100" s="239"/>
    </row>
    <row r="101" spans="2:15">
      <c r="B101" s="6" t="s">
        <v>139</v>
      </c>
      <c r="C101" s="4"/>
      <c r="D101" s="98">
        <v>0.01</v>
      </c>
      <c r="E101" s="243"/>
      <c r="F101" s="184"/>
      <c r="G101" s="243"/>
      <c r="H101" s="1133"/>
      <c r="I101" s="1133"/>
      <c r="J101" s="1133"/>
      <c r="K101" s="1133"/>
      <c r="L101" s="1133"/>
      <c r="M101" s="1133"/>
      <c r="N101" s="239"/>
    </row>
    <row r="102" spans="2:15">
      <c r="B102" s="9" t="s">
        <v>140</v>
      </c>
      <c r="C102" s="3"/>
      <c r="D102" s="94">
        <v>1E-3</v>
      </c>
      <c r="E102" s="243"/>
      <c r="F102" s="243"/>
      <c r="G102" s="243"/>
      <c r="H102" s="1133"/>
      <c r="I102" s="1133"/>
      <c r="J102" s="1133"/>
      <c r="K102" s="1133"/>
      <c r="L102" s="1133"/>
      <c r="M102" s="1133"/>
    </row>
    <row r="103" spans="2:15">
      <c r="B103" s="9" t="s">
        <v>145</v>
      </c>
      <c r="C103" s="3"/>
      <c r="D103" s="109">
        <v>0.2</v>
      </c>
      <c r="E103" s="255"/>
      <c r="F103" s="255"/>
      <c r="G103" s="255"/>
      <c r="H103" s="1134">
        <v>2604711.54</v>
      </c>
      <c r="I103" s="1134"/>
      <c r="J103" s="1133">
        <f>M79-H103</f>
        <v>338569.04999999981</v>
      </c>
      <c r="K103" s="1133"/>
      <c r="L103" s="1133">
        <f>H103+J103</f>
        <v>2943280.59</v>
      </c>
      <c r="M103" s="1133"/>
    </row>
    <row r="104" spans="2:15">
      <c r="E104" s="255"/>
      <c r="F104" s="255"/>
      <c r="G104" s="255"/>
      <c r="L104" s="184"/>
      <c r="M104" s="184"/>
      <c r="N104" s="244"/>
    </row>
    <row r="105" spans="2:15">
      <c r="E105" s="255"/>
      <c r="F105" s="255"/>
      <c r="G105" s="255"/>
      <c r="H105" s="256"/>
      <c r="I105" s="243"/>
      <c r="L105" s="184"/>
      <c r="M105" s="184"/>
    </row>
    <row r="106" spans="2:15">
      <c r="B106" s="9" t="s">
        <v>216</v>
      </c>
      <c r="C106" s="3"/>
      <c r="D106" s="3"/>
      <c r="E106" s="255"/>
      <c r="F106" s="255"/>
      <c r="G106" s="255"/>
      <c r="H106" s="1130">
        <f>H99-H103</f>
        <v>10418846.175164327</v>
      </c>
      <c r="I106" s="1130"/>
      <c r="J106" s="1131">
        <f>J99-J103</f>
        <v>4889789.1191051332</v>
      </c>
      <c r="K106" s="1131"/>
      <c r="L106" s="1132">
        <f>H106+J106</f>
        <v>15308635.294269461</v>
      </c>
      <c r="M106" s="1132"/>
      <c r="N106" s="239"/>
      <c r="O106" s="258">
        <f>J106+J93+J94</f>
        <v>4937163.0399125107</v>
      </c>
    </row>
    <row r="107" spans="2:15">
      <c r="B107" s="9"/>
      <c r="C107" s="3"/>
      <c r="D107" s="3"/>
      <c r="E107" s="3"/>
      <c r="F107" s="3"/>
      <c r="G107" s="3"/>
      <c r="H107" s="259"/>
      <c r="I107" s="260"/>
      <c r="J107" s="261"/>
      <c r="K107" s="262"/>
      <c r="L107" s="262"/>
      <c r="M107" s="263"/>
      <c r="N107" s="239"/>
    </row>
    <row r="108" spans="2:15">
      <c r="C108" s="3"/>
      <c r="D108" s="3"/>
      <c r="E108" s="3"/>
      <c r="F108" s="3"/>
      <c r="G108" s="3"/>
      <c r="H108" s="259"/>
      <c r="I108" s="260"/>
      <c r="J108" s="261"/>
      <c r="K108" s="262"/>
      <c r="L108" s="262"/>
      <c r="M108" s="263"/>
      <c r="N108" s="239"/>
    </row>
    <row r="109" spans="2:15">
      <c r="B109" s="9"/>
      <c r="C109" s="3"/>
      <c r="D109" s="3"/>
      <c r="E109" s="255"/>
      <c r="F109" s="255"/>
      <c r="G109" s="255"/>
      <c r="H109" s="257"/>
      <c r="I109" s="257"/>
      <c r="L109" s="241"/>
      <c r="M109" s="241"/>
    </row>
    <row r="110" spans="2:15">
      <c r="B110" s="9"/>
      <c r="C110" s="3"/>
      <c r="D110" s="3"/>
      <c r="E110" s="3"/>
      <c r="F110" s="3"/>
      <c r="G110" s="3"/>
      <c r="H110" s="259"/>
      <c r="I110" s="260"/>
      <c r="J110" s="261"/>
      <c r="K110" s="262"/>
      <c r="L110" s="262"/>
      <c r="M110" s="263"/>
    </row>
    <row r="111" spans="2:15">
      <c r="B111" s="1" t="s">
        <v>147</v>
      </c>
      <c r="C111" s="1"/>
      <c r="D111" s="1"/>
      <c r="E111" s="6" t="s">
        <v>148</v>
      </c>
      <c r="F111" s="6"/>
      <c r="I111" s="264" t="s">
        <v>13</v>
      </c>
      <c r="L111" s="1111" t="s">
        <v>149</v>
      </c>
      <c r="M111" s="1111"/>
    </row>
    <row r="112" spans="2:15">
      <c r="B112" s="1"/>
      <c r="C112" s="1"/>
      <c r="D112" s="1111"/>
      <c r="E112" s="1111"/>
      <c r="F112" s="1111"/>
      <c r="G112" s="1111"/>
      <c r="H112" s="1111"/>
      <c r="I112" s="1111"/>
      <c r="J112" s="1111"/>
      <c r="K112" s="1111"/>
      <c r="L112" s="1111"/>
      <c r="M112" s="1111"/>
    </row>
    <row r="113" spans="2:13">
      <c r="B113" s="1" t="s">
        <v>150</v>
      </c>
      <c r="C113" s="1"/>
      <c r="D113" s="1"/>
      <c r="E113" s="1" t="s">
        <v>151</v>
      </c>
      <c r="F113" s="1"/>
      <c r="G113" s="1127" t="s">
        <v>217</v>
      </c>
      <c r="H113" s="1127"/>
      <c r="I113" s="1127"/>
      <c r="J113" s="1127"/>
      <c r="K113" s="1127"/>
      <c r="L113" s="1128" t="s">
        <v>218</v>
      </c>
      <c r="M113" s="1128"/>
    </row>
    <row r="114" spans="2:13">
      <c r="B114" s="1" t="s">
        <v>154</v>
      </c>
      <c r="C114" s="1"/>
      <c r="D114" s="1"/>
      <c r="E114" s="1" t="s">
        <v>155</v>
      </c>
      <c r="F114" s="1"/>
      <c r="G114" s="1129" t="s">
        <v>163</v>
      </c>
      <c r="H114" s="1129"/>
      <c r="I114" s="1129"/>
      <c r="J114" s="1129"/>
      <c r="K114" s="1129"/>
      <c r="L114" s="1111" t="s">
        <v>219</v>
      </c>
      <c r="M114" s="1111"/>
    </row>
    <row r="115" spans="2:13">
      <c r="I115" t="s">
        <v>220</v>
      </c>
    </row>
  </sheetData>
  <mergeCells count="79">
    <mergeCell ref="A1:M1"/>
    <mergeCell ref="A2:M2"/>
    <mergeCell ref="C4:I4"/>
    <mergeCell ref="A8:F8"/>
    <mergeCell ref="G8:J8"/>
    <mergeCell ref="K8:M8"/>
    <mergeCell ref="E88:F88"/>
    <mergeCell ref="H88:I88"/>
    <mergeCell ref="J88:K88"/>
    <mergeCell ref="L88:M88"/>
    <mergeCell ref="B75:N75"/>
    <mergeCell ref="B76:N76"/>
    <mergeCell ref="C79:I79"/>
    <mergeCell ref="J82:K82"/>
    <mergeCell ref="E83:F83"/>
    <mergeCell ref="H83:I83"/>
    <mergeCell ref="J83:K83"/>
    <mergeCell ref="L83:M83"/>
    <mergeCell ref="E84:F84"/>
    <mergeCell ref="H84:I84"/>
    <mergeCell ref="J84:K84"/>
    <mergeCell ref="L84:M84"/>
    <mergeCell ref="E87:F87"/>
    <mergeCell ref="E89:F89"/>
    <mergeCell ref="H89:I89"/>
    <mergeCell ref="J89:K89"/>
    <mergeCell ref="L89:M89"/>
    <mergeCell ref="E90:F90"/>
    <mergeCell ref="H90:I90"/>
    <mergeCell ref="J90:K90"/>
    <mergeCell ref="L90:M90"/>
    <mergeCell ref="E91:F91"/>
    <mergeCell ref="H91:I91"/>
    <mergeCell ref="J91:K91"/>
    <mergeCell ref="L91:M91"/>
    <mergeCell ref="E92:F92"/>
    <mergeCell ref="H92:I92"/>
    <mergeCell ref="J92:K92"/>
    <mergeCell ref="L92:M92"/>
    <mergeCell ref="E93:F93"/>
    <mergeCell ref="H93:I93"/>
    <mergeCell ref="J93:K93"/>
    <mergeCell ref="L93:M93"/>
    <mergeCell ref="E94:F94"/>
    <mergeCell ref="H94:I94"/>
    <mergeCell ref="J94:K94"/>
    <mergeCell ref="L94:M94"/>
    <mergeCell ref="E96:F96"/>
    <mergeCell ref="H96:I96"/>
    <mergeCell ref="J96:K96"/>
    <mergeCell ref="L96:M96"/>
    <mergeCell ref="E98:F98"/>
    <mergeCell ref="H98:I98"/>
    <mergeCell ref="J98:K98"/>
    <mergeCell ref="L98:M98"/>
    <mergeCell ref="E99:F99"/>
    <mergeCell ref="H99:I99"/>
    <mergeCell ref="J99:K99"/>
    <mergeCell ref="L99:M99"/>
    <mergeCell ref="H101:I101"/>
    <mergeCell ref="J101:K101"/>
    <mergeCell ref="L101:M101"/>
    <mergeCell ref="D112:F112"/>
    <mergeCell ref="G112:J112"/>
    <mergeCell ref="K112:M112"/>
    <mergeCell ref="H102:I102"/>
    <mergeCell ref="J102:K102"/>
    <mergeCell ref="L102:M102"/>
    <mergeCell ref="H103:I103"/>
    <mergeCell ref="J103:K103"/>
    <mergeCell ref="L103:M103"/>
    <mergeCell ref="G113:K113"/>
    <mergeCell ref="L113:M113"/>
    <mergeCell ref="G114:K114"/>
    <mergeCell ref="L114:M114"/>
    <mergeCell ref="H106:I106"/>
    <mergeCell ref="J106:K106"/>
    <mergeCell ref="L106:M106"/>
    <mergeCell ref="L111:M111"/>
  </mergeCells>
  <pageMargins left="0.70866141732283472" right="0.70866141732283472" top="0.74803149606299213" bottom="0.74803149606299213" header="0.31496062992125984" footer="0.31496062992125984"/>
  <pageSetup paperSize="5" scale="80" orientation="landscape" horizontalDpi="0" verticalDpi="0" r:id="rId1"/>
  <colBreaks count="1" manualBreakCount="1">
    <brk id="14" max="114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15EBFF-337C-4D16-83DE-B0000EE14085}">
  <dimension ref="A2:O126"/>
  <sheetViews>
    <sheetView topLeftCell="A98" workbookViewId="0">
      <selection activeCell="D133" sqref="D133"/>
    </sheetView>
  </sheetViews>
  <sheetFormatPr baseColWidth="10" defaultRowHeight="15"/>
  <cols>
    <col min="1" max="1" width="11.5703125" bestFit="1" customWidth="1"/>
    <col min="2" max="2" width="45.42578125" bestFit="1" customWidth="1"/>
    <col min="4" max="5" width="11.5703125" bestFit="1" customWidth="1"/>
    <col min="6" max="6" width="16" bestFit="1" customWidth="1"/>
    <col min="7" max="7" width="11.5703125" bestFit="1" customWidth="1"/>
    <col min="8" max="8" width="11.85546875" bestFit="1" customWidth="1"/>
    <col min="9" max="10" width="11.5703125" bestFit="1" customWidth="1"/>
    <col min="11" max="12" width="13.28515625" bestFit="1" customWidth="1"/>
    <col min="13" max="13" width="15.140625" bestFit="1" customWidth="1"/>
    <col min="14" max="14" width="11.7109375" bestFit="1" customWidth="1"/>
  </cols>
  <sheetData>
    <row r="2" spans="1:14">
      <c r="A2" s="1111" t="s">
        <v>0</v>
      </c>
      <c r="B2" s="1111"/>
      <c r="C2" s="1111"/>
      <c r="D2" s="1111"/>
      <c r="E2" s="1111"/>
      <c r="F2" s="1111"/>
      <c r="G2" s="1111"/>
      <c r="H2" s="1111"/>
      <c r="I2" s="1111"/>
      <c r="J2" s="1111"/>
      <c r="K2" s="1111"/>
      <c r="L2" s="1111"/>
      <c r="M2" s="1111"/>
    </row>
    <row r="3" spans="1:14">
      <c r="A3" s="1121" t="s">
        <v>1</v>
      </c>
      <c r="B3" s="1121"/>
      <c r="C3" s="1121"/>
      <c r="D3" s="1121"/>
      <c r="E3" s="1121"/>
      <c r="F3" s="1121"/>
      <c r="G3" s="1121"/>
      <c r="H3" s="1121"/>
      <c r="I3" s="1121"/>
      <c r="J3" s="1121"/>
      <c r="K3" s="1121"/>
      <c r="L3" s="1121"/>
      <c r="M3" s="1121"/>
    </row>
    <row r="4" spans="1:14">
      <c r="A4" s="2"/>
      <c r="C4" s="2"/>
      <c r="D4" s="2"/>
      <c r="E4" s="2"/>
      <c r="F4" s="2"/>
      <c r="G4" s="2"/>
      <c r="H4" s="2"/>
      <c r="I4" s="2"/>
      <c r="J4" s="2"/>
      <c r="K4" s="2"/>
      <c r="L4" s="2"/>
      <c r="M4" s="3" t="s">
        <v>221</v>
      </c>
    </row>
    <row r="5" spans="1:14" ht="21" customHeight="1">
      <c r="A5" s="4"/>
      <c r="B5" s="5" t="s">
        <v>3</v>
      </c>
      <c r="C5" s="1169" t="s">
        <v>222</v>
      </c>
      <c r="D5" s="1169"/>
      <c r="E5" s="1169"/>
      <c r="F5" s="1169"/>
      <c r="G5" s="1169"/>
      <c r="H5" s="1169"/>
      <c r="I5" s="1169"/>
      <c r="J5" s="4"/>
      <c r="K5" s="4"/>
      <c r="L5" s="5" t="s">
        <v>5</v>
      </c>
      <c r="M5" s="8">
        <v>24315191.309999999</v>
      </c>
    </row>
    <row r="6" spans="1:14">
      <c r="A6" s="4"/>
      <c r="B6" s="5" t="s">
        <v>7</v>
      </c>
      <c r="C6" s="9">
        <v>2</v>
      </c>
      <c r="D6" s="4"/>
      <c r="E6" s="6"/>
      <c r="F6" s="6"/>
      <c r="G6" s="6"/>
      <c r="H6" s="4"/>
      <c r="I6" s="4"/>
      <c r="J6" s="4"/>
      <c r="K6" s="4"/>
      <c r="L6" s="5" t="s">
        <v>8</v>
      </c>
      <c r="M6" s="8">
        <v>4863038.46</v>
      </c>
    </row>
    <row r="7" spans="1:14">
      <c r="A7" s="4"/>
      <c r="B7" s="5" t="s">
        <v>9</v>
      </c>
      <c r="C7" s="6" t="s">
        <v>223</v>
      </c>
      <c r="D7" s="6"/>
      <c r="E7" s="6"/>
      <c r="F7" s="6" t="s">
        <v>161</v>
      </c>
      <c r="G7" s="10"/>
      <c r="H7" s="4"/>
      <c r="I7" s="4"/>
      <c r="J7" s="4"/>
      <c r="K7" s="4"/>
      <c r="L7" s="5" t="s">
        <v>11</v>
      </c>
      <c r="M7" s="11" t="s">
        <v>224</v>
      </c>
    </row>
    <row r="8" spans="1:14">
      <c r="A8" s="4"/>
      <c r="B8" s="5" t="s">
        <v>13</v>
      </c>
      <c r="C8" s="6" t="s">
        <v>225</v>
      </c>
      <c r="D8" s="6"/>
      <c r="E8" s="6"/>
      <c r="F8" s="6"/>
      <c r="H8" s="4"/>
      <c r="I8" s="4"/>
      <c r="J8" s="4"/>
      <c r="K8" s="4"/>
      <c r="L8" s="4"/>
      <c r="M8" s="4"/>
    </row>
    <row r="9" spans="1:14">
      <c r="A9" s="1142" t="s">
        <v>164</v>
      </c>
      <c r="B9" s="1143"/>
      <c r="C9" s="1143"/>
      <c r="D9" s="1143"/>
      <c r="E9" s="1143"/>
      <c r="F9" s="1144"/>
      <c r="G9" s="1145" t="s">
        <v>16</v>
      </c>
      <c r="H9" s="1146"/>
      <c r="I9" s="1146"/>
      <c r="J9" s="1147"/>
      <c r="K9" s="1148" t="s">
        <v>17</v>
      </c>
      <c r="L9" s="1149"/>
      <c r="M9" s="1150"/>
    </row>
    <row r="10" spans="1:14" ht="15" customHeight="1">
      <c r="A10" s="120" t="s">
        <v>18</v>
      </c>
      <c r="B10" s="121" t="s">
        <v>19</v>
      </c>
      <c r="C10" s="121" t="s">
        <v>20</v>
      </c>
      <c r="D10" s="121" t="s">
        <v>165</v>
      </c>
      <c r="E10" s="122" t="s">
        <v>22</v>
      </c>
      <c r="F10" s="122" t="s">
        <v>23</v>
      </c>
      <c r="G10" s="123" t="s">
        <v>24</v>
      </c>
      <c r="H10" s="123" t="s">
        <v>25</v>
      </c>
      <c r="I10" s="124" t="s">
        <v>26</v>
      </c>
      <c r="J10" s="125" t="s">
        <v>27</v>
      </c>
      <c r="K10" s="126" t="s">
        <v>24</v>
      </c>
      <c r="L10" s="127" t="s">
        <v>25</v>
      </c>
      <c r="M10" s="127" t="s">
        <v>26</v>
      </c>
    </row>
    <row r="11" spans="1:14">
      <c r="A11" s="265">
        <v>1</v>
      </c>
      <c r="B11" s="266" t="s">
        <v>166</v>
      </c>
      <c r="C11" s="267"/>
      <c r="D11" s="268"/>
      <c r="E11" s="269"/>
      <c r="F11" s="269"/>
      <c r="G11" s="133"/>
      <c r="H11" s="134"/>
      <c r="I11" s="134"/>
      <c r="J11" s="134"/>
      <c r="K11" s="135"/>
      <c r="L11" s="135"/>
      <c r="M11" s="135"/>
    </row>
    <row r="12" spans="1:14">
      <c r="A12" s="270">
        <f>A11+0.01</f>
        <v>1.01</v>
      </c>
      <c r="B12" s="271" t="s">
        <v>167</v>
      </c>
      <c r="C12" s="272" t="s">
        <v>30</v>
      </c>
      <c r="D12" s="269">
        <v>1635</v>
      </c>
      <c r="E12" s="273">
        <v>51.943460000000002</v>
      </c>
      <c r="F12" s="273">
        <f>D12*E12</f>
        <v>84927.557100000005</v>
      </c>
      <c r="G12" s="134">
        <v>1415</v>
      </c>
      <c r="H12" s="134">
        <v>220</v>
      </c>
      <c r="I12" s="133">
        <f>G12+H12</f>
        <v>1635</v>
      </c>
      <c r="J12" s="152">
        <f>I12/D12*100</f>
        <v>100</v>
      </c>
      <c r="K12" s="140">
        <f>G12*E12</f>
        <v>73499.995900000009</v>
      </c>
      <c r="L12" s="153">
        <f>H12*E12</f>
        <v>11427.5612</v>
      </c>
      <c r="M12" s="140">
        <f>K12+L12</f>
        <v>84927.557100000005</v>
      </c>
      <c r="N12" s="274"/>
    </row>
    <row r="13" spans="1:14">
      <c r="A13" s="265">
        <f t="shared" ref="A13" si="0">A12+0.01</f>
        <v>1.02</v>
      </c>
      <c r="B13" s="275" t="s">
        <v>168</v>
      </c>
      <c r="C13" s="272"/>
      <c r="D13" s="269"/>
      <c r="E13" s="276"/>
      <c r="F13" s="277">
        <f>F12</f>
        <v>84927.557100000005</v>
      </c>
      <c r="G13" s="146"/>
      <c r="H13" s="146"/>
      <c r="I13" s="146"/>
      <c r="J13" s="146"/>
      <c r="K13" s="147">
        <f>SUM(K12)</f>
        <v>73499.995900000009</v>
      </c>
      <c r="L13" s="147">
        <f>SUM(L12)</f>
        <v>11427.5612</v>
      </c>
      <c r="M13" s="147">
        <f>K13+L13</f>
        <v>84927.557100000005</v>
      </c>
      <c r="N13" s="274"/>
    </row>
    <row r="14" spans="1:14">
      <c r="A14" s="278">
        <v>2</v>
      </c>
      <c r="B14" s="279" t="s">
        <v>175</v>
      </c>
      <c r="C14" s="272"/>
      <c r="D14" s="268"/>
      <c r="E14" s="280"/>
      <c r="F14" s="281"/>
      <c r="G14" s="134"/>
      <c r="H14" s="134"/>
      <c r="I14" s="134"/>
      <c r="J14" s="134"/>
      <c r="K14" s="140"/>
      <c r="L14" s="140"/>
      <c r="M14" s="140"/>
      <c r="N14" s="274"/>
    </row>
    <row r="15" spans="1:14">
      <c r="A15" s="270">
        <f>A14+0.01</f>
        <v>2.0099999999999998</v>
      </c>
      <c r="B15" s="282" t="s">
        <v>176</v>
      </c>
      <c r="C15" s="272" t="s">
        <v>30</v>
      </c>
      <c r="D15" s="283">
        <v>1515</v>
      </c>
      <c r="E15" s="284">
        <v>7454.39</v>
      </c>
      <c r="F15" s="283">
        <f t="shared" ref="F15:F24" si="1">D15*E15</f>
        <v>11293400.85</v>
      </c>
      <c r="G15" s="134">
        <v>724.87604999999996</v>
      </c>
      <c r="H15" s="134">
        <v>700</v>
      </c>
      <c r="I15" s="133">
        <f>G15+H15</f>
        <v>1424.8760499999999</v>
      </c>
      <c r="J15" s="152">
        <f>I15/D15*100</f>
        <v>94.051224422442232</v>
      </c>
      <c r="K15" s="140">
        <f>G15*E15</f>
        <v>5403508.7783594998</v>
      </c>
      <c r="L15" s="153">
        <f>H15*E15</f>
        <v>5218073</v>
      </c>
      <c r="M15" s="140">
        <f>K15+L15</f>
        <v>10621581.778359499</v>
      </c>
      <c r="N15" s="274"/>
    </row>
    <row r="16" spans="1:14">
      <c r="A16" s="270">
        <f t="shared" ref="A16:A25" si="2">A15+0.01</f>
        <v>2.0199999999999996</v>
      </c>
      <c r="B16" s="282" t="s">
        <v>177</v>
      </c>
      <c r="C16" s="272" t="s">
        <v>30</v>
      </c>
      <c r="D16" s="283">
        <v>120</v>
      </c>
      <c r="E16" s="283">
        <v>12684.21055</v>
      </c>
      <c r="F16" s="283">
        <f t="shared" si="1"/>
        <v>1522105.2660000001</v>
      </c>
      <c r="G16" s="134">
        <v>100</v>
      </c>
      <c r="H16" s="134"/>
      <c r="I16" s="133">
        <f t="shared" ref="I16:I24" si="3">G16+H16</f>
        <v>100</v>
      </c>
      <c r="J16" s="152">
        <f t="shared" ref="J16:J24" si="4">I16/D16*100</f>
        <v>83.333333333333343</v>
      </c>
      <c r="K16" s="140">
        <f t="shared" ref="K16:K21" si="5">G16*E16</f>
        <v>1268421.0549999999</v>
      </c>
      <c r="L16" s="140"/>
      <c r="M16" s="140"/>
      <c r="N16" s="274"/>
    </row>
    <row r="17" spans="1:15">
      <c r="A17" s="270">
        <f t="shared" si="2"/>
        <v>2.0299999999999994</v>
      </c>
      <c r="B17" s="282" t="s">
        <v>178</v>
      </c>
      <c r="C17" s="272" t="s">
        <v>30</v>
      </c>
      <c r="D17" s="283">
        <v>1515</v>
      </c>
      <c r="E17" s="283">
        <v>220.549014</v>
      </c>
      <c r="F17" s="283">
        <f t="shared" si="1"/>
        <v>334131.75621000002</v>
      </c>
      <c r="G17" s="134">
        <v>800</v>
      </c>
      <c r="H17" s="134">
        <v>600</v>
      </c>
      <c r="I17" s="133">
        <f t="shared" si="3"/>
        <v>1400</v>
      </c>
      <c r="J17" s="152">
        <f t="shared" si="4"/>
        <v>92.409240924092401</v>
      </c>
      <c r="K17" s="140">
        <f t="shared" si="5"/>
        <v>176439.21119999999</v>
      </c>
      <c r="L17" s="153">
        <f>H17*E17</f>
        <v>132329.40839999999</v>
      </c>
      <c r="M17" s="140">
        <f>K17+L17</f>
        <v>308768.61959999998</v>
      </c>
      <c r="N17" s="274"/>
    </row>
    <row r="18" spans="1:15">
      <c r="A18" s="270">
        <f t="shared" si="2"/>
        <v>2.0399999999999991</v>
      </c>
      <c r="B18" s="282" t="s">
        <v>179</v>
      </c>
      <c r="C18" s="272" t="s">
        <v>30</v>
      </c>
      <c r="D18" s="283">
        <v>120</v>
      </c>
      <c r="E18" s="283">
        <v>315.84507000000002</v>
      </c>
      <c r="F18" s="283">
        <f t="shared" si="1"/>
        <v>37901.4084</v>
      </c>
      <c r="G18" s="134">
        <v>100</v>
      </c>
      <c r="H18" s="134"/>
      <c r="I18" s="133">
        <f t="shared" si="3"/>
        <v>100</v>
      </c>
      <c r="J18" s="152">
        <f t="shared" si="4"/>
        <v>83.333333333333343</v>
      </c>
      <c r="K18" s="140">
        <f t="shared" si="5"/>
        <v>31584.507000000001</v>
      </c>
      <c r="L18" s="140"/>
      <c r="M18" s="140"/>
      <c r="N18" s="274"/>
    </row>
    <row r="19" spans="1:15">
      <c r="A19" s="270">
        <f t="shared" si="2"/>
        <v>2.0499999999999989</v>
      </c>
      <c r="B19" s="282" t="s">
        <v>180</v>
      </c>
      <c r="C19" s="272" t="s">
        <v>45</v>
      </c>
      <c r="D19" s="283">
        <v>175</v>
      </c>
      <c r="E19" s="283">
        <v>3200</v>
      </c>
      <c r="F19" s="283">
        <f t="shared" si="1"/>
        <v>560000</v>
      </c>
      <c r="G19" s="134">
        <v>30</v>
      </c>
      <c r="H19" s="134">
        <v>90</v>
      </c>
      <c r="I19" s="133">
        <f t="shared" si="3"/>
        <v>120</v>
      </c>
      <c r="J19" s="152">
        <f t="shared" si="4"/>
        <v>68.571428571428569</v>
      </c>
      <c r="K19" s="140">
        <f t="shared" si="5"/>
        <v>96000</v>
      </c>
      <c r="L19" s="153">
        <f>H19*E19</f>
        <v>288000</v>
      </c>
      <c r="M19" s="140">
        <f>K19+L19</f>
        <v>384000</v>
      </c>
      <c r="N19" s="274"/>
    </row>
    <row r="20" spans="1:15">
      <c r="A20" s="270">
        <f t="shared" si="2"/>
        <v>2.0599999999999987</v>
      </c>
      <c r="B20" s="282" t="s">
        <v>181</v>
      </c>
      <c r="C20" s="272" t="s">
        <v>32</v>
      </c>
      <c r="D20" s="283">
        <v>1</v>
      </c>
      <c r="E20" s="283">
        <v>50987.13</v>
      </c>
      <c r="F20" s="283">
        <f t="shared" si="1"/>
        <v>50987.13</v>
      </c>
      <c r="G20" s="134">
        <v>0.5</v>
      </c>
      <c r="H20" s="134"/>
      <c r="I20" s="133">
        <f t="shared" si="3"/>
        <v>0.5</v>
      </c>
      <c r="J20" s="152">
        <f t="shared" si="4"/>
        <v>50</v>
      </c>
      <c r="K20" s="140">
        <f t="shared" si="5"/>
        <v>25493.564999999999</v>
      </c>
      <c r="L20" s="140"/>
      <c r="M20" s="140"/>
      <c r="N20" s="274"/>
    </row>
    <row r="21" spans="1:15">
      <c r="A21" s="270">
        <f t="shared" si="2"/>
        <v>2.0699999999999985</v>
      </c>
      <c r="B21" s="282" t="s">
        <v>182</v>
      </c>
      <c r="C21" s="272" t="s">
        <v>45</v>
      </c>
      <c r="D21" s="283">
        <v>4</v>
      </c>
      <c r="E21" s="283">
        <v>77234.964999999997</v>
      </c>
      <c r="F21" s="283">
        <f t="shared" si="1"/>
        <v>308939.86</v>
      </c>
      <c r="G21" s="134">
        <v>2</v>
      </c>
      <c r="H21" s="134"/>
      <c r="I21" s="133">
        <f t="shared" si="3"/>
        <v>2</v>
      </c>
      <c r="J21" s="152">
        <f t="shared" si="4"/>
        <v>50</v>
      </c>
      <c r="K21" s="140">
        <f t="shared" si="5"/>
        <v>154469.93</v>
      </c>
      <c r="L21" s="140"/>
      <c r="M21" s="140"/>
      <c r="N21" s="274"/>
    </row>
    <row r="22" spans="1:15">
      <c r="A22" s="270">
        <f t="shared" si="2"/>
        <v>2.0799999999999983</v>
      </c>
      <c r="B22" s="284" t="s">
        <v>183</v>
      </c>
      <c r="C22" s="272" t="s">
        <v>45</v>
      </c>
      <c r="D22" s="283">
        <v>120</v>
      </c>
      <c r="E22" s="283">
        <v>4554.46</v>
      </c>
      <c r="F22" s="283">
        <f t="shared" si="1"/>
        <v>546535.19999999995</v>
      </c>
      <c r="G22" s="134"/>
      <c r="H22" s="134">
        <v>60</v>
      </c>
      <c r="I22" s="133">
        <f t="shared" si="3"/>
        <v>60</v>
      </c>
      <c r="J22" s="152">
        <f t="shared" si="4"/>
        <v>50</v>
      </c>
      <c r="K22" s="140"/>
      <c r="L22" s="153">
        <f>H22*E22</f>
        <v>273267.59999999998</v>
      </c>
      <c r="M22" s="140">
        <f>K22+L22</f>
        <v>273267.59999999998</v>
      </c>
      <c r="N22" s="274"/>
    </row>
    <row r="23" spans="1:15">
      <c r="A23" s="270">
        <f t="shared" si="2"/>
        <v>2.0899999999999981</v>
      </c>
      <c r="B23" s="282" t="s">
        <v>184</v>
      </c>
      <c r="C23" s="272" t="s">
        <v>58</v>
      </c>
      <c r="D23" s="285">
        <v>81.02</v>
      </c>
      <c r="E23" s="283">
        <v>238.84</v>
      </c>
      <c r="F23" s="283">
        <f t="shared" si="1"/>
        <v>19350.816800000001</v>
      </c>
      <c r="G23" s="134"/>
      <c r="H23" s="134">
        <v>81.02</v>
      </c>
      <c r="I23" s="133">
        <f t="shared" si="3"/>
        <v>81.02</v>
      </c>
      <c r="J23" s="152">
        <f t="shared" si="4"/>
        <v>100</v>
      </c>
      <c r="K23" s="140"/>
      <c r="L23" s="153">
        <f>H23*E23</f>
        <v>19350.816800000001</v>
      </c>
      <c r="M23" s="140">
        <f>K23+L23</f>
        <v>19350.816800000001</v>
      </c>
      <c r="N23" s="274"/>
    </row>
    <row r="24" spans="1:15">
      <c r="A24" s="270">
        <f t="shared" si="2"/>
        <v>2.0999999999999979</v>
      </c>
      <c r="B24" s="282" t="s">
        <v>185</v>
      </c>
      <c r="C24" s="272" t="s">
        <v>58</v>
      </c>
      <c r="D24" s="285">
        <v>951.42</v>
      </c>
      <c r="E24" s="283">
        <v>238.84</v>
      </c>
      <c r="F24" s="283">
        <f t="shared" si="1"/>
        <v>227237.15279999998</v>
      </c>
      <c r="G24" s="134"/>
      <c r="H24" s="134">
        <v>700</v>
      </c>
      <c r="I24" s="133">
        <f t="shared" si="3"/>
        <v>700</v>
      </c>
      <c r="J24" s="152">
        <f t="shared" si="4"/>
        <v>73.574236404532172</v>
      </c>
      <c r="K24" s="140"/>
      <c r="L24" s="153">
        <f>H24*E24</f>
        <v>167188</v>
      </c>
      <c r="M24" s="140">
        <f>K24+L24</f>
        <v>167188</v>
      </c>
      <c r="N24" s="274"/>
    </row>
    <row r="25" spans="1:15">
      <c r="A25" s="265">
        <f t="shared" si="2"/>
        <v>2.1099999999999977</v>
      </c>
      <c r="B25" s="279" t="s">
        <v>186</v>
      </c>
      <c r="C25" s="286"/>
      <c r="D25" s="283"/>
      <c r="E25" s="280"/>
      <c r="F25" s="287">
        <f>SUM(F15:F24)</f>
        <v>14900589.440209998</v>
      </c>
      <c r="G25" s="146"/>
      <c r="H25" s="146"/>
      <c r="I25" s="146"/>
      <c r="J25" s="146"/>
      <c r="K25" s="147">
        <f>SUM(K15:K24)</f>
        <v>7155917.0465594996</v>
      </c>
      <c r="L25" s="147">
        <f>SUM(L15:L24)</f>
        <v>6098208.8251999998</v>
      </c>
      <c r="M25" s="147">
        <f>SUM(M15:M24)</f>
        <v>11774156.814759498</v>
      </c>
      <c r="N25" s="274"/>
    </row>
    <row r="26" spans="1:15">
      <c r="A26" s="278">
        <v>3</v>
      </c>
      <c r="B26" s="275" t="s">
        <v>187</v>
      </c>
      <c r="C26" s="286"/>
      <c r="D26" s="269"/>
      <c r="E26" s="276"/>
      <c r="F26" s="153"/>
      <c r="G26" s="134"/>
      <c r="H26" s="134"/>
      <c r="I26" s="134"/>
      <c r="J26" s="134"/>
      <c r="K26" s="140"/>
      <c r="L26" s="140"/>
      <c r="M26" s="140"/>
      <c r="N26" s="274"/>
    </row>
    <row r="27" spans="1:15">
      <c r="A27" s="288">
        <f>A26+0.01</f>
        <v>3.01</v>
      </c>
      <c r="B27" s="271" t="s">
        <v>190</v>
      </c>
      <c r="C27" s="272" t="s">
        <v>45</v>
      </c>
      <c r="D27" s="269">
        <v>2</v>
      </c>
      <c r="E27" s="269">
        <v>46530.901769999997</v>
      </c>
      <c r="F27" s="273">
        <f>D27*E27</f>
        <v>93061.803539999994</v>
      </c>
      <c r="G27" s="134"/>
      <c r="H27" s="134"/>
      <c r="I27" s="134"/>
      <c r="J27" s="134"/>
      <c r="K27" s="140"/>
      <c r="L27" s="140"/>
      <c r="M27" s="140"/>
      <c r="N27" s="274"/>
    </row>
    <row r="28" spans="1:15">
      <c r="A28" s="288">
        <f>A27+0.01</f>
        <v>3.0199999999999996</v>
      </c>
      <c r="B28" s="271" t="s">
        <v>189</v>
      </c>
      <c r="C28" s="272" t="s">
        <v>45</v>
      </c>
      <c r="D28" s="269">
        <v>60</v>
      </c>
      <c r="E28" s="269">
        <v>51908.7</v>
      </c>
      <c r="F28" s="273">
        <f>D28*E28</f>
        <v>3114522</v>
      </c>
      <c r="G28" s="134"/>
      <c r="H28" s="134">
        <v>35</v>
      </c>
      <c r="I28" s="133">
        <f t="shared" ref="I28" si="6">G28+H28</f>
        <v>35</v>
      </c>
      <c r="J28" s="152">
        <f t="shared" ref="J28" si="7">I28/D28*100</f>
        <v>58.333333333333336</v>
      </c>
      <c r="K28" s="140"/>
      <c r="L28" s="153">
        <f>H28*E28</f>
        <v>1816804.5</v>
      </c>
      <c r="M28" s="140">
        <f>K28+L28</f>
        <v>1816804.5</v>
      </c>
      <c r="N28" s="274"/>
    </row>
    <row r="29" spans="1:15">
      <c r="A29" s="289">
        <f>A28+0.01</f>
        <v>3.0299999999999994</v>
      </c>
      <c r="B29" s="275" t="s">
        <v>191</v>
      </c>
      <c r="C29" s="272"/>
      <c r="D29" s="290"/>
      <c r="E29" s="276"/>
      <c r="F29" s="291">
        <f>SUM(F27:F28)</f>
        <v>3207583.8035399998</v>
      </c>
      <c r="G29" s="146"/>
      <c r="H29" s="146"/>
      <c r="I29" s="146"/>
      <c r="J29" s="146"/>
      <c r="K29" s="147"/>
      <c r="L29" s="147">
        <f>SUM(L28)</f>
        <v>1816804.5</v>
      </c>
      <c r="M29" s="147">
        <f>SUM(M28)</f>
        <v>1816804.5</v>
      </c>
      <c r="N29" s="274"/>
    </row>
    <row r="30" spans="1:15" ht="24.75">
      <c r="A30" s="278">
        <v>4</v>
      </c>
      <c r="B30" s="292" t="s">
        <v>226</v>
      </c>
      <c r="C30" s="293"/>
      <c r="D30" s="294"/>
      <c r="E30" s="276"/>
      <c r="F30" s="153"/>
      <c r="G30" s="134"/>
      <c r="H30" s="134"/>
      <c r="I30" s="134"/>
      <c r="J30" s="134"/>
      <c r="K30" s="140"/>
      <c r="L30" s="140"/>
      <c r="M30" s="140"/>
      <c r="N30" s="274"/>
      <c r="O30">
        <v>5403508.7800000003</v>
      </c>
    </row>
    <row r="31" spans="1:15" ht="36.75">
      <c r="A31" s="288">
        <f>A30+0.01</f>
        <v>4.01</v>
      </c>
      <c r="B31" s="295" t="s">
        <v>193</v>
      </c>
      <c r="C31" s="293" t="s">
        <v>32</v>
      </c>
      <c r="D31" s="294">
        <v>1</v>
      </c>
      <c r="E31" s="296">
        <v>34901.54</v>
      </c>
      <c r="F31" s="273">
        <f>D31*E31</f>
        <v>34901.54</v>
      </c>
      <c r="G31" s="134">
        <v>1</v>
      </c>
      <c r="H31" s="134">
        <v>-1</v>
      </c>
      <c r="I31" s="133">
        <f>G31-H31</f>
        <v>2</v>
      </c>
      <c r="J31" s="152">
        <f t="shared" ref="J31:J35" si="8">I31/D31*100</f>
        <v>200</v>
      </c>
      <c r="K31" s="140">
        <f t="shared" ref="K31:K35" si="9">G31*E31</f>
        <v>34901.54</v>
      </c>
      <c r="L31" s="140">
        <f>H31*E31</f>
        <v>-34901.54</v>
      </c>
      <c r="M31" s="140">
        <f>K31+L31</f>
        <v>0</v>
      </c>
      <c r="N31" s="274"/>
      <c r="O31">
        <f>O30/E15</f>
        <v>724.87605022007165</v>
      </c>
    </row>
    <row r="32" spans="1:15">
      <c r="A32" s="288">
        <f t="shared" ref="A32:A36" si="10">A31+0.01</f>
        <v>4.0199999999999996</v>
      </c>
      <c r="B32" s="295" t="s">
        <v>170</v>
      </c>
      <c r="C32" s="293" t="s">
        <v>36</v>
      </c>
      <c r="D32" s="294">
        <v>39.6</v>
      </c>
      <c r="E32" s="294">
        <v>342.67903999999999</v>
      </c>
      <c r="F32" s="273">
        <f>D32*E32</f>
        <v>13570.089984</v>
      </c>
      <c r="G32" s="134">
        <v>39.6</v>
      </c>
      <c r="H32" s="134">
        <v>-39.6</v>
      </c>
      <c r="I32" s="133">
        <f t="shared" ref="I32:I35" si="11">G32-H32</f>
        <v>79.2</v>
      </c>
      <c r="J32" s="152">
        <f t="shared" si="8"/>
        <v>200</v>
      </c>
      <c r="K32" s="140">
        <f t="shared" si="9"/>
        <v>13570.089984</v>
      </c>
      <c r="L32" s="140">
        <f t="shared" ref="L32:L35" si="12">H32*E32</f>
        <v>-13570.089984</v>
      </c>
      <c r="M32" s="140">
        <f t="shared" ref="M32:M36" si="13">K32+L32</f>
        <v>0</v>
      </c>
      <c r="N32" s="274"/>
    </row>
    <row r="33" spans="1:15">
      <c r="A33" s="288">
        <f t="shared" si="10"/>
        <v>4.0299999999999994</v>
      </c>
      <c r="B33" s="295" t="s">
        <v>171</v>
      </c>
      <c r="C33" s="293" t="s">
        <v>36</v>
      </c>
      <c r="D33" s="293">
        <v>2.8</v>
      </c>
      <c r="E33" s="271">
        <v>1234.8</v>
      </c>
      <c r="F33" s="273">
        <f>D33*E33</f>
        <v>3457.4399999999996</v>
      </c>
      <c r="G33" s="134">
        <v>2.8</v>
      </c>
      <c r="H33" s="134">
        <v>-2.8</v>
      </c>
      <c r="I33" s="133">
        <f t="shared" si="11"/>
        <v>5.6</v>
      </c>
      <c r="J33" s="152">
        <f t="shared" si="8"/>
        <v>200</v>
      </c>
      <c r="K33" s="140">
        <f t="shared" si="9"/>
        <v>3457.4399999999996</v>
      </c>
      <c r="L33" s="140">
        <f t="shared" si="12"/>
        <v>-3457.4399999999996</v>
      </c>
      <c r="M33" s="140">
        <f t="shared" si="13"/>
        <v>0</v>
      </c>
      <c r="N33" s="274"/>
      <c r="O33" s="297">
        <f>K16/E16</f>
        <v>100</v>
      </c>
    </row>
    <row r="34" spans="1:15" ht="24.75">
      <c r="A34" s="288">
        <f t="shared" si="10"/>
        <v>4.0399999999999991</v>
      </c>
      <c r="B34" s="295" t="s">
        <v>173</v>
      </c>
      <c r="C34" s="286" t="s">
        <v>36</v>
      </c>
      <c r="D34" s="269">
        <v>34.96</v>
      </c>
      <c r="E34" s="153">
        <v>96</v>
      </c>
      <c r="F34" s="273">
        <f>D34*E34</f>
        <v>3356.16</v>
      </c>
      <c r="G34" s="133">
        <v>34.96</v>
      </c>
      <c r="H34" s="133">
        <v>-34.96</v>
      </c>
      <c r="I34" s="133">
        <f t="shared" si="11"/>
        <v>69.92</v>
      </c>
      <c r="J34" s="152">
        <f t="shared" si="8"/>
        <v>200</v>
      </c>
      <c r="K34" s="140">
        <f t="shared" si="9"/>
        <v>3356.16</v>
      </c>
      <c r="L34" s="140">
        <f t="shared" si="12"/>
        <v>-3356.16</v>
      </c>
      <c r="M34" s="140">
        <f t="shared" si="13"/>
        <v>0</v>
      </c>
      <c r="N34" s="274"/>
    </row>
    <row r="35" spans="1:15">
      <c r="A35" s="288">
        <f t="shared" si="10"/>
        <v>4.0499999999999989</v>
      </c>
      <c r="B35" s="295" t="s">
        <v>50</v>
      </c>
      <c r="C35" s="286" t="s">
        <v>36</v>
      </c>
      <c r="D35" s="269">
        <v>3.64</v>
      </c>
      <c r="E35" s="153">
        <v>209.09</v>
      </c>
      <c r="F35" s="273">
        <f>D35*E35</f>
        <v>761.08760000000007</v>
      </c>
      <c r="G35" s="133">
        <v>3.64</v>
      </c>
      <c r="H35" s="133">
        <v>-3.64</v>
      </c>
      <c r="I35" s="133">
        <f t="shared" si="11"/>
        <v>7.28</v>
      </c>
      <c r="J35" s="152">
        <f t="shared" si="8"/>
        <v>200</v>
      </c>
      <c r="K35" s="140">
        <f t="shared" si="9"/>
        <v>761.08760000000007</v>
      </c>
      <c r="L35" s="140">
        <f t="shared" si="12"/>
        <v>-761.08760000000007</v>
      </c>
      <c r="M35" s="140">
        <f t="shared" si="13"/>
        <v>0</v>
      </c>
      <c r="N35" s="274"/>
      <c r="O35">
        <v>7155917.04</v>
      </c>
    </row>
    <row r="36" spans="1:15">
      <c r="A36" s="289">
        <f t="shared" si="10"/>
        <v>4.0599999999999987</v>
      </c>
      <c r="B36" s="298" t="s">
        <v>194</v>
      </c>
      <c r="C36" s="286"/>
      <c r="D36" s="269"/>
      <c r="E36" s="276"/>
      <c r="F36" s="291">
        <f>SUM(F31:F35)</f>
        <v>56046.317584000004</v>
      </c>
      <c r="G36" s="146"/>
      <c r="H36" s="146"/>
      <c r="I36" s="146"/>
      <c r="J36" s="146"/>
      <c r="K36" s="147">
        <f>SUM(K31:K35)</f>
        <v>56046.317584000004</v>
      </c>
      <c r="L36" s="147">
        <f>SUM(L31:L35)</f>
        <v>-56046.317584000004</v>
      </c>
      <c r="M36" s="147">
        <f t="shared" si="13"/>
        <v>0</v>
      </c>
      <c r="N36" s="274"/>
    </row>
    <row r="37" spans="1:15" ht="15" customHeight="1">
      <c r="A37" s="278">
        <v>5</v>
      </c>
      <c r="B37" s="292" t="s">
        <v>227</v>
      </c>
      <c r="C37" s="286"/>
      <c r="D37" s="269"/>
      <c r="E37" s="276"/>
      <c r="F37" s="153"/>
      <c r="G37" s="134"/>
      <c r="H37" s="134"/>
      <c r="I37" s="134"/>
      <c r="J37" s="134"/>
      <c r="K37" s="140"/>
      <c r="L37" s="140"/>
      <c r="M37" s="140"/>
      <c r="N37" s="274"/>
    </row>
    <row r="38" spans="1:15" ht="36.75">
      <c r="A38" s="288">
        <f>A37+0.01</f>
        <v>5.01</v>
      </c>
      <c r="B38" s="295" t="s">
        <v>193</v>
      </c>
      <c r="C38" s="286" t="s">
        <v>32</v>
      </c>
      <c r="D38" s="269">
        <v>1</v>
      </c>
      <c r="E38" s="273">
        <v>34901.54</v>
      </c>
      <c r="F38" s="273">
        <f>D38*E38</f>
        <v>34901.54</v>
      </c>
      <c r="G38" s="134"/>
      <c r="H38" s="134"/>
      <c r="I38" s="134"/>
      <c r="J38" s="134"/>
      <c r="K38" s="140"/>
      <c r="L38" s="140"/>
      <c r="M38" s="140"/>
      <c r="N38" s="274"/>
    </row>
    <row r="39" spans="1:15">
      <c r="A39" s="288">
        <f t="shared" ref="A39:A43" si="14">A38+0.01</f>
        <v>5.0199999999999996</v>
      </c>
      <c r="B39" s="295" t="s">
        <v>170</v>
      </c>
      <c r="C39" s="286" t="s">
        <v>36</v>
      </c>
      <c r="D39" s="269">
        <v>13.68</v>
      </c>
      <c r="E39" s="273">
        <v>342.67908999999997</v>
      </c>
      <c r="F39" s="273">
        <f>D39*E39</f>
        <v>4687.8499511999999</v>
      </c>
      <c r="G39" s="134"/>
      <c r="H39" s="134"/>
      <c r="I39" s="134"/>
      <c r="J39" s="134"/>
      <c r="K39" s="140"/>
      <c r="L39" s="140"/>
      <c r="M39" s="140"/>
      <c r="N39" s="274"/>
    </row>
    <row r="40" spans="1:15">
      <c r="A40" s="288">
        <f t="shared" si="14"/>
        <v>5.0299999999999994</v>
      </c>
      <c r="B40" s="295" t="s">
        <v>171</v>
      </c>
      <c r="C40" s="286" t="s">
        <v>36</v>
      </c>
      <c r="D40" s="269">
        <v>0.64</v>
      </c>
      <c r="E40" s="273">
        <v>1234.8</v>
      </c>
      <c r="F40" s="273">
        <f>D40*E40</f>
        <v>790.27199999999993</v>
      </c>
      <c r="G40" s="134"/>
      <c r="H40" s="134"/>
      <c r="I40" s="134"/>
      <c r="J40" s="134"/>
      <c r="K40" s="140"/>
      <c r="L40" s="140"/>
      <c r="M40" s="140"/>
      <c r="N40" s="274"/>
    </row>
    <row r="41" spans="1:15">
      <c r="A41" s="288">
        <f t="shared" si="14"/>
        <v>5.0399999999999991</v>
      </c>
      <c r="B41" s="295" t="s">
        <v>228</v>
      </c>
      <c r="C41" s="286" t="s">
        <v>36</v>
      </c>
      <c r="D41" s="269">
        <v>12.39</v>
      </c>
      <c r="E41" s="273">
        <v>96</v>
      </c>
      <c r="F41" s="273">
        <f>D41*E41</f>
        <v>1189.44</v>
      </c>
      <c r="G41" s="134"/>
      <c r="H41" s="134"/>
      <c r="I41" s="134"/>
      <c r="J41" s="134"/>
      <c r="K41" s="140"/>
      <c r="L41" s="140"/>
      <c r="M41" s="140"/>
      <c r="N41" s="274"/>
    </row>
    <row r="42" spans="1:15">
      <c r="A42" s="288">
        <f t="shared" si="14"/>
        <v>5.0499999999999989</v>
      </c>
      <c r="B42" s="295" t="s">
        <v>50</v>
      </c>
      <c r="C42" s="286" t="s">
        <v>36</v>
      </c>
      <c r="D42" s="269">
        <v>0.83</v>
      </c>
      <c r="E42" s="273">
        <v>209.09100000000001</v>
      </c>
      <c r="F42" s="273">
        <f>D42*E42</f>
        <v>173.54552999999999</v>
      </c>
      <c r="G42" s="134"/>
      <c r="H42" s="134"/>
      <c r="I42" s="134"/>
      <c r="J42" s="134"/>
      <c r="K42" s="140"/>
      <c r="L42" s="140"/>
      <c r="M42" s="140"/>
      <c r="N42" s="274"/>
    </row>
    <row r="43" spans="1:15" ht="18" customHeight="1">
      <c r="A43" s="289">
        <f t="shared" si="14"/>
        <v>5.0599999999999987</v>
      </c>
      <c r="B43" s="292" t="s">
        <v>229</v>
      </c>
      <c r="C43" s="286"/>
      <c r="D43" s="269"/>
      <c r="E43" s="276"/>
      <c r="F43" s="153">
        <f>SUM(F38:F42)</f>
        <v>41742.647481200001</v>
      </c>
      <c r="G43" s="134"/>
      <c r="H43" s="134"/>
      <c r="I43" s="134"/>
      <c r="J43" s="134"/>
      <c r="K43" s="140"/>
      <c r="L43" s="140"/>
      <c r="M43" s="140"/>
      <c r="N43" s="274"/>
    </row>
    <row r="44" spans="1:15">
      <c r="A44" s="278">
        <v>6</v>
      </c>
      <c r="B44" s="292" t="s">
        <v>195</v>
      </c>
      <c r="C44" s="272"/>
      <c r="D44" s="269"/>
      <c r="E44" s="273"/>
      <c r="F44" s="299"/>
      <c r="G44" s="134"/>
      <c r="H44" s="134"/>
      <c r="I44" s="134"/>
      <c r="J44" s="134"/>
      <c r="K44" s="140"/>
      <c r="L44" s="140"/>
      <c r="M44" s="140"/>
      <c r="N44" s="274"/>
    </row>
    <row r="45" spans="1:15">
      <c r="A45" s="288">
        <f>A44+0.01</f>
        <v>6.01</v>
      </c>
      <c r="B45" s="295" t="s">
        <v>196</v>
      </c>
      <c r="C45" s="286" t="s">
        <v>45</v>
      </c>
      <c r="D45" s="269">
        <v>155</v>
      </c>
      <c r="E45" s="140">
        <v>17817.580000000002</v>
      </c>
      <c r="F45" s="153">
        <f>D45*E45</f>
        <v>2761724.9000000004</v>
      </c>
      <c r="G45" s="133">
        <v>15.7753876</v>
      </c>
      <c r="H45" s="134">
        <v>49.22</v>
      </c>
      <c r="I45" s="133">
        <f t="shared" ref="I45:I46" si="15">G45+H45</f>
        <v>64.995387600000001</v>
      </c>
      <c r="J45" s="152">
        <f t="shared" ref="J45:J46" si="16">I45/D45*100</f>
        <v>41.932508129032257</v>
      </c>
      <c r="K45" s="140">
        <f>G45*E45</f>
        <v>281079.23059400806</v>
      </c>
      <c r="L45" s="153">
        <f>H45*E45</f>
        <v>876981.28760000004</v>
      </c>
      <c r="M45" s="140">
        <f>K45+L45</f>
        <v>1158060.5181940082</v>
      </c>
      <c r="N45" s="274"/>
    </row>
    <row r="46" spans="1:15">
      <c r="A46" s="288">
        <f t="shared" ref="A46:A47" si="17">A45+0.01</f>
        <v>6.02</v>
      </c>
      <c r="B46" s="295" t="s">
        <v>197</v>
      </c>
      <c r="C46" s="286" t="s">
        <v>45</v>
      </c>
      <c r="D46" s="269">
        <v>5</v>
      </c>
      <c r="E46" s="153">
        <v>62224.078000000001</v>
      </c>
      <c r="F46" s="153">
        <f>D46*E46</f>
        <v>311120.39</v>
      </c>
      <c r="G46" s="133">
        <v>2</v>
      </c>
      <c r="H46" s="134"/>
      <c r="I46" s="133">
        <f t="shared" si="15"/>
        <v>2</v>
      </c>
      <c r="J46" s="152">
        <f t="shared" si="16"/>
        <v>40</v>
      </c>
      <c r="K46" s="140">
        <f>G46*E46</f>
        <v>124448.156</v>
      </c>
      <c r="L46" s="153"/>
      <c r="M46" s="140"/>
      <c r="N46" s="274"/>
    </row>
    <row r="47" spans="1:15">
      <c r="A47" s="289">
        <f t="shared" si="17"/>
        <v>6.0299999999999994</v>
      </c>
      <c r="B47" s="292" t="s">
        <v>199</v>
      </c>
      <c r="C47" s="272"/>
      <c r="D47" s="268"/>
      <c r="E47" s="135"/>
      <c r="F47" s="300">
        <f>SUM(F45:F46)</f>
        <v>3072845.2900000005</v>
      </c>
      <c r="G47" s="146"/>
      <c r="H47" s="146"/>
      <c r="I47" s="146"/>
      <c r="J47" s="146"/>
      <c r="K47" s="147">
        <f>SUM(K45:K46)</f>
        <v>405527.38659400807</v>
      </c>
      <c r="L47" s="147">
        <f>SUM(L45:L46)</f>
        <v>876981.28760000004</v>
      </c>
      <c r="M47" s="147">
        <f>SUM(K47:L47)</f>
        <v>1282508.6741940081</v>
      </c>
      <c r="N47" s="274"/>
    </row>
    <row r="48" spans="1:15" ht="24.75">
      <c r="A48" s="288"/>
      <c r="B48" s="295" t="s">
        <v>230</v>
      </c>
      <c r="C48" s="272"/>
      <c r="D48" s="268"/>
      <c r="E48" s="135"/>
      <c r="F48" s="301"/>
      <c r="G48" s="134"/>
      <c r="H48" s="134"/>
      <c r="I48" s="134"/>
      <c r="J48" s="134"/>
      <c r="K48" s="140"/>
      <c r="L48" s="140"/>
      <c r="M48" s="140"/>
      <c r="N48" s="274"/>
    </row>
    <row r="49" spans="1:14">
      <c r="A49" s="288"/>
      <c r="B49" s="271" t="s">
        <v>187</v>
      </c>
      <c r="C49" s="272"/>
      <c r="D49" s="268"/>
      <c r="E49" s="135"/>
      <c r="F49" s="301"/>
      <c r="G49" s="134"/>
      <c r="H49" s="134"/>
      <c r="I49" s="134"/>
      <c r="J49" s="134"/>
      <c r="K49" s="140"/>
      <c r="L49" s="140"/>
      <c r="M49" s="140"/>
      <c r="N49" s="274"/>
    </row>
    <row r="50" spans="1:14">
      <c r="A50" s="288"/>
      <c r="B50" s="271" t="s">
        <v>190</v>
      </c>
      <c r="C50" s="272" t="s">
        <v>45</v>
      </c>
      <c r="D50" s="269">
        <v>10</v>
      </c>
      <c r="E50" s="269">
        <v>46530.901769999997</v>
      </c>
      <c r="F50" s="273">
        <f>D50*E50</f>
        <v>465309.01769999997</v>
      </c>
      <c r="G50" s="133">
        <v>10</v>
      </c>
      <c r="H50" s="134">
        <f>-10</f>
        <v>-10</v>
      </c>
      <c r="I50" s="133">
        <f>G50-H50</f>
        <v>20</v>
      </c>
      <c r="J50" s="152">
        <f t="shared" ref="J50" si="18">I50/D50*100</f>
        <v>200</v>
      </c>
      <c r="K50" s="140">
        <f>G50*E50</f>
        <v>465309.01769999997</v>
      </c>
      <c r="L50" s="140">
        <f>H50*E50</f>
        <v>-465309.01769999997</v>
      </c>
      <c r="M50" s="140"/>
      <c r="N50" s="274"/>
    </row>
    <row r="51" spans="1:14">
      <c r="A51" s="288"/>
      <c r="B51" s="302" t="s">
        <v>231</v>
      </c>
      <c r="C51" s="268"/>
      <c r="D51" s="268"/>
      <c r="E51" s="135"/>
      <c r="F51" s="303">
        <f>F47+F43+F36+F29+F25+F13</f>
        <v>21363735.055915199</v>
      </c>
      <c r="G51" s="177"/>
      <c r="H51" s="178"/>
      <c r="I51" s="178"/>
      <c r="J51" s="178"/>
      <c r="K51" s="179">
        <f>K25+K13+K47+K36+K50</f>
        <v>8156299.7643375071</v>
      </c>
      <c r="L51" s="179">
        <f>L47+L29+L25+L13+L50+L36</f>
        <v>8282066.8387160012</v>
      </c>
      <c r="M51" s="179">
        <f>K51+L51</f>
        <v>16438366.603053508</v>
      </c>
      <c r="N51" s="274"/>
    </row>
    <row r="52" spans="1:14" ht="15.75">
      <c r="A52" s="188"/>
      <c r="B52" s="117"/>
      <c r="C52" s="189"/>
      <c r="D52" s="189"/>
      <c r="E52" s="117"/>
      <c r="F52" s="304"/>
      <c r="G52" s="191"/>
      <c r="K52" s="274"/>
      <c r="L52" s="274"/>
      <c r="M52" s="274"/>
      <c r="N52" s="274"/>
    </row>
    <row r="53" spans="1:14" ht="15.75">
      <c r="A53" s="188"/>
      <c r="B53" s="117"/>
      <c r="C53" s="189"/>
      <c r="D53" s="189"/>
      <c r="E53" s="117"/>
      <c r="F53" s="304"/>
      <c r="G53" s="191"/>
      <c r="K53" s="274"/>
      <c r="L53" s="274"/>
      <c r="M53" s="274"/>
      <c r="N53" s="274"/>
    </row>
    <row r="54" spans="1:14" ht="15.75">
      <c r="A54" s="188"/>
      <c r="B54" s="117"/>
      <c r="C54" s="189"/>
      <c r="D54" s="189"/>
      <c r="E54" s="117"/>
      <c r="F54" s="304"/>
      <c r="G54" s="191"/>
      <c r="K54" s="274"/>
      <c r="L54" s="274"/>
      <c r="M54" s="274"/>
      <c r="N54" s="274"/>
    </row>
    <row r="55" spans="1:14" ht="15.75">
      <c r="A55" s="188"/>
      <c r="B55" s="117"/>
      <c r="C55" s="189"/>
      <c r="D55" s="189"/>
      <c r="E55" s="117"/>
      <c r="F55" s="304"/>
      <c r="G55" s="191"/>
      <c r="K55" s="274"/>
      <c r="L55" s="274"/>
      <c r="M55" s="274"/>
      <c r="N55" s="274"/>
    </row>
    <row r="56" spans="1:14" ht="15.75">
      <c r="A56" s="188"/>
      <c r="B56" s="117"/>
      <c r="C56" s="189"/>
      <c r="D56" s="189"/>
      <c r="E56" s="117"/>
      <c r="F56" s="304"/>
      <c r="G56" s="191"/>
      <c r="K56" s="274"/>
      <c r="L56" s="274"/>
      <c r="M56" s="274"/>
      <c r="N56" s="274"/>
    </row>
    <row r="57" spans="1:14" ht="15.75">
      <c r="A57" s="188"/>
      <c r="B57" s="117"/>
      <c r="C57" s="189"/>
      <c r="D57" s="189"/>
      <c r="E57" s="117"/>
      <c r="F57" s="304"/>
      <c r="G57" s="191"/>
      <c r="K57" s="274"/>
      <c r="L57" s="274"/>
      <c r="M57" s="274"/>
      <c r="N57" s="274"/>
    </row>
    <row r="58" spans="1:14" ht="15.75">
      <c r="A58" s="188"/>
      <c r="B58" s="117"/>
      <c r="C58" s="189"/>
      <c r="D58" s="189"/>
      <c r="E58" s="117"/>
      <c r="F58" s="304"/>
      <c r="G58" s="191"/>
      <c r="K58" s="274"/>
      <c r="L58" s="274"/>
      <c r="M58" s="274"/>
      <c r="N58" s="274"/>
    </row>
    <row r="59" spans="1:14" ht="15.75">
      <c r="A59" s="188"/>
      <c r="B59" s="117"/>
      <c r="C59" s="189"/>
      <c r="D59" s="189"/>
      <c r="E59" s="117"/>
      <c r="F59" s="304"/>
      <c r="G59" s="191"/>
      <c r="K59" s="274"/>
      <c r="L59" s="274"/>
      <c r="M59" s="274"/>
      <c r="N59" s="274"/>
    </row>
    <row r="60" spans="1:14" ht="15.75">
      <c r="A60" s="188"/>
      <c r="B60" s="117"/>
      <c r="C60" s="189"/>
      <c r="D60" s="189"/>
      <c r="E60" s="117"/>
      <c r="F60" s="304"/>
      <c r="G60" s="191"/>
      <c r="K60" s="274"/>
      <c r="L60" s="274"/>
      <c r="M60" s="274"/>
      <c r="N60" s="274"/>
    </row>
    <row r="61" spans="1:14" ht="15.75">
      <c r="A61" s="188"/>
      <c r="B61" s="117"/>
      <c r="C61" s="189"/>
      <c r="D61" s="189"/>
      <c r="E61" s="117"/>
      <c r="F61" s="304"/>
      <c r="G61" s="191"/>
      <c r="K61" s="274"/>
      <c r="L61" s="274"/>
      <c r="M61" s="274"/>
      <c r="N61" s="274"/>
    </row>
    <row r="62" spans="1:14" ht="15.75">
      <c r="A62" s="188"/>
      <c r="B62" s="117"/>
      <c r="C62" s="189"/>
      <c r="D62" s="189"/>
      <c r="E62" s="117"/>
      <c r="F62" s="304"/>
      <c r="G62" s="191"/>
      <c r="K62" s="274"/>
      <c r="L62" s="274"/>
      <c r="M62" s="274"/>
      <c r="N62" s="274"/>
    </row>
    <row r="63" spans="1:14" ht="15.75">
      <c r="A63" s="188"/>
      <c r="B63" s="117"/>
      <c r="C63" s="189"/>
      <c r="D63" s="189"/>
      <c r="E63" s="117"/>
      <c r="F63" s="304"/>
      <c r="G63" s="191"/>
      <c r="K63" s="274"/>
      <c r="L63" s="274"/>
      <c r="M63" s="274"/>
      <c r="N63" s="274"/>
    </row>
    <row r="64" spans="1:14" ht="15.75">
      <c r="A64" s="188"/>
      <c r="B64" s="117"/>
      <c r="C64" s="189"/>
      <c r="D64" s="189"/>
      <c r="E64" s="117"/>
      <c r="F64" s="304"/>
      <c r="G64" s="191"/>
      <c r="K64" s="274"/>
      <c r="L64" s="274"/>
      <c r="M64" s="274"/>
      <c r="N64" s="274"/>
    </row>
    <row r="65" spans="1:14" ht="15.75">
      <c r="A65" s="188"/>
      <c r="B65" s="117"/>
      <c r="C65" s="189"/>
      <c r="D65" s="189"/>
      <c r="E65" s="117"/>
      <c r="F65" s="304"/>
      <c r="G65" s="191"/>
      <c r="K65" s="274"/>
      <c r="L65" s="274"/>
      <c r="M65" s="274"/>
      <c r="N65" s="274"/>
    </row>
    <row r="66" spans="1:14" ht="15.75">
      <c r="A66" s="188"/>
      <c r="B66" s="117"/>
      <c r="C66" s="189"/>
      <c r="D66" s="189"/>
      <c r="E66" s="117"/>
      <c r="F66" s="304"/>
      <c r="G66" s="191"/>
      <c r="K66" s="274"/>
      <c r="L66" s="274"/>
      <c r="M66" s="274"/>
      <c r="N66" s="274"/>
    </row>
    <row r="67" spans="1:14" ht="15.75">
      <c r="A67" s="188"/>
      <c r="B67" s="117"/>
      <c r="C67" s="189"/>
      <c r="D67" s="189"/>
      <c r="E67" s="117"/>
      <c r="F67" s="304"/>
      <c r="G67" s="191"/>
      <c r="K67" s="274"/>
      <c r="L67" s="274"/>
      <c r="M67" s="274"/>
      <c r="N67" s="274"/>
    </row>
    <row r="68" spans="1:14" ht="15.75">
      <c r="A68" s="188"/>
      <c r="B68" s="117"/>
      <c r="C68" s="189"/>
      <c r="D68" s="189"/>
      <c r="E68" s="117"/>
      <c r="F68" s="304"/>
      <c r="G68" s="191"/>
      <c r="K68" s="274"/>
      <c r="L68" s="274"/>
      <c r="M68" s="274"/>
      <c r="N68" s="274"/>
    </row>
    <row r="69" spans="1:14" ht="15.75">
      <c r="A69" s="188"/>
      <c r="B69" s="117"/>
      <c r="C69" s="189"/>
      <c r="D69" s="189"/>
      <c r="E69" s="117"/>
      <c r="F69" s="304"/>
      <c r="G69" s="191"/>
      <c r="K69" s="274"/>
      <c r="L69" s="274"/>
      <c r="M69" s="274"/>
      <c r="N69" s="274"/>
    </row>
    <row r="70" spans="1:14" ht="15.75">
      <c r="A70" s="188"/>
      <c r="B70" s="117"/>
      <c r="C70" s="189"/>
      <c r="D70" s="189"/>
      <c r="E70" s="117"/>
      <c r="F70" s="304"/>
      <c r="G70" s="191"/>
      <c r="K70" s="274"/>
      <c r="L70" s="274"/>
      <c r="M70" s="274"/>
      <c r="N70" s="274"/>
    </row>
    <row r="71" spans="1:14" ht="15.75">
      <c r="A71" s="188"/>
      <c r="B71" s="117"/>
      <c r="C71" s="189"/>
      <c r="D71" s="189"/>
      <c r="E71" s="117"/>
      <c r="F71" s="304"/>
      <c r="G71" s="191"/>
      <c r="K71" s="274"/>
      <c r="L71" s="274"/>
      <c r="M71" s="274"/>
      <c r="N71" s="274"/>
    </row>
    <row r="72" spans="1:14" ht="15.75">
      <c r="A72" s="188"/>
      <c r="B72" s="117"/>
      <c r="C72" s="189"/>
      <c r="D72" s="189"/>
      <c r="E72" s="117"/>
      <c r="F72" s="304"/>
      <c r="G72" s="191"/>
      <c r="K72" s="274"/>
      <c r="L72" s="274"/>
      <c r="M72" s="274"/>
      <c r="N72" s="274"/>
    </row>
    <row r="73" spans="1:14" ht="15.75">
      <c r="A73" s="188"/>
      <c r="B73" s="117"/>
      <c r="C73" s="189"/>
      <c r="D73" s="189"/>
      <c r="E73" s="117"/>
      <c r="F73" s="304"/>
      <c r="G73" s="191"/>
      <c r="K73" s="274"/>
      <c r="L73" s="274"/>
      <c r="M73" s="274"/>
      <c r="N73" s="274"/>
    </row>
    <row r="74" spans="1:14" ht="15.75">
      <c r="A74" s="188"/>
      <c r="B74" s="117"/>
      <c r="C74" s="189"/>
      <c r="D74" s="189"/>
      <c r="E74" s="117"/>
      <c r="F74" s="304"/>
      <c r="G74" s="191"/>
      <c r="K74" s="274"/>
      <c r="L74" s="274"/>
      <c r="M74" s="274"/>
      <c r="N74" s="274"/>
    </row>
    <row r="75" spans="1:14" ht="15.75">
      <c r="A75" s="188"/>
      <c r="B75" s="117"/>
      <c r="C75" s="189"/>
      <c r="D75" s="189"/>
      <c r="E75" s="117"/>
      <c r="F75" s="304"/>
      <c r="G75" s="191"/>
      <c r="K75" s="274"/>
      <c r="L75" s="274"/>
      <c r="M75" s="274"/>
      <c r="N75" s="274"/>
    </row>
    <row r="76" spans="1:14" ht="15.75">
      <c r="A76" s="188"/>
      <c r="B76" s="117"/>
      <c r="C76" s="189"/>
      <c r="D76" s="189"/>
      <c r="E76" s="117"/>
      <c r="F76" s="304"/>
      <c r="G76" s="191"/>
      <c r="K76" s="274"/>
      <c r="L76" s="274"/>
      <c r="M76" s="274"/>
      <c r="N76" s="274"/>
    </row>
    <row r="77" spans="1:14" ht="15.75">
      <c r="A77" s="188"/>
      <c r="B77" s="117"/>
      <c r="C77" s="189"/>
      <c r="D77" s="189"/>
      <c r="E77" s="117"/>
      <c r="F77" s="304"/>
      <c r="G77" s="191"/>
      <c r="K77" s="274"/>
      <c r="L77" s="274"/>
      <c r="M77" s="274"/>
      <c r="N77" s="274"/>
    </row>
    <row r="78" spans="1:14" ht="15.75">
      <c r="A78" s="188"/>
      <c r="B78" s="117"/>
      <c r="C78" s="189"/>
      <c r="D78" s="189"/>
      <c r="E78" s="117"/>
      <c r="F78" s="304"/>
      <c r="G78" s="191"/>
      <c r="K78" s="274"/>
      <c r="L78" s="274"/>
      <c r="M78" s="274"/>
      <c r="N78" s="274"/>
    </row>
    <row r="79" spans="1:14" ht="15.75">
      <c r="A79" s="188"/>
      <c r="B79" s="117"/>
      <c r="C79" s="189"/>
      <c r="D79" s="189"/>
      <c r="E79" s="117"/>
      <c r="F79" s="304"/>
      <c r="G79" s="191"/>
      <c r="K79" s="274"/>
      <c r="L79" s="274"/>
      <c r="M79" s="274"/>
      <c r="N79" s="274"/>
    </row>
    <row r="80" spans="1:14" ht="15.75">
      <c r="A80" s="188"/>
      <c r="B80" s="117"/>
      <c r="C80" s="189"/>
      <c r="D80" s="189"/>
      <c r="E80" s="117"/>
      <c r="F80" s="304"/>
      <c r="G80" s="191"/>
      <c r="K80" s="274"/>
      <c r="L80" s="274"/>
      <c r="M80" s="274"/>
      <c r="N80" s="274"/>
    </row>
    <row r="81" spans="1:14" ht="15.75">
      <c r="A81" s="188"/>
      <c r="B81" s="117"/>
      <c r="C81" s="189"/>
      <c r="D81" s="189"/>
      <c r="E81" s="117"/>
      <c r="F81" s="304"/>
      <c r="G81" s="191"/>
      <c r="K81" s="274"/>
      <c r="L81" s="274"/>
      <c r="M81" s="274"/>
      <c r="N81" s="274"/>
    </row>
    <row r="82" spans="1:14" ht="15.75">
      <c r="A82" s="188"/>
      <c r="B82" s="117"/>
      <c r="C82" s="189"/>
      <c r="D82" s="189"/>
      <c r="E82" s="117"/>
      <c r="F82" s="304"/>
      <c r="G82" s="191"/>
      <c r="K82" s="274"/>
      <c r="L82" s="274"/>
      <c r="M82" s="274"/>
      <c r="N82" s="274"/>
    </row>
    <row r="83" spans="1:14" ht="15.75">
      <c r="A83" s="188"/>
      <c r="B83" s="117"/>
      <c r="C83" s="189"/>
      <c r="D83" s="189"/>
      <c r="E83" s="117"/>
      <c r="F83" s="304"/>
      <c r="G83" s="191"/>
      <c r="K83" s="274"/>
      <c r="L83" s="274"/>
      <c r="M83" s="274"/>
      <c r="N83" s="274"/>
    </row>
    <row r="84" spans="1:14" ht="15.75">
      <c r="A84" s="188"/>
      <c r="B84" s="117"/>
      <c r="C84" s="189"/>
      <c r="D84" s="189"/>
      <c r="E84" s="117"/>
      <c r="F84" s="304"/>
      <c r="G84" s="191"/>
      <c r="K84" s="274"/>
      <c r="L84" s="274"/>
      <c r="M84" s="274"/>
      <c r="N84" s="274"/>
    </row>
    <row r="85" spans="1:14" ht="15.75">
      <c r="A85" s="188"/>
      <c r="B85" s="117"/>
      <c r="C85" s="189"/>
      <c r="D85" s="189"/>
      <c r="E85" s="117"/>
      <c r="F85" s="304"/>
      <c r="G85" s="191"/>
      <c r="K85" s="274"/>
      <c r="L85" s="274"/>
      <c r="M85" s="274"/>
      <c r="N85" s="274"/>
    </row>
    <row r="86" spans="1:14" ht="15.75">
      <c r="A86" s="188"/>
      <c r="B86" s="117"/>
      <c r="C86" s="189"/>
      <c r="D86" s="189"/>
      <c r="E86" s="117"/>
      <c r="F86" s="304"/>
      <c r="G86" s="191"/>
      <c r="K86" s="274"/>
      <c r="L86" s="274"/>
      <c r="M86" s="274"/>
      <c r="N86" s="274"/>
    </row>
    <row r="87" spans="1:14" ht="15.75">
      <c r="A87" s="188"/>
      <c r="B87" s="117"/>
      <c r="C87" s="189"/>
      <c r="D87" s="189"/>
      <c r="E87" s="117"/>
      <c r="F87" s="304"/>
      <c r="G87" s="191"/>
      <c r="K87" s="274"/>
      <c r="L87" s="274"/>
      <c r="M87" s="274"/>
      <c r="N87" s="274"/>
    </row>
    <row r="88" spans="1:14" ht="15.75">
      <c r="A88" s="188"/>
      <c r="B88" s="117"/>
      <c r="C88" s="189"/>
      <c r="D88" s="189"/>
      <c r="E88" s="117"/>
      <c r="F88" s="304"/>
      <c r="G88" s="191"/>
      <c r="K88" s="274"/>
      <c r="L88" s="274"/>
      <c r="M88" s="274"/>
      <c r="N88" s="274"/>
    </row>
    <row r="89" spans="1:14" ht="15.75">
      <c r="A89" s="188"/>
      <c r="B89" s="117"/>
      <c r="C89" s="189"/>
      <c r="D89" s="189"/>
      <c r="E89" s="117"/>
      <c r="F89" s="304"/>
      <c r="G89" s="191"/>
      <c r="K89" s="274"/>
      <c r="L89" s="274"/>
      <c r="M89" s="274"/>
      <c r="N89" s="274"/>
    </row>
    <row r="90" spans="1:14">
      <c r="A90" s="1111" t="s">
        <v>0</v>
      </c>
      <c r="B90" s="1111"/>
      <c r="C90" s="1111"/>
      <c r="D90" s="1111"/>
      <c r="E90" s="1111"/>
      <c r="F90" s="1111"/>
      <c r="G90" s="1111"/>
      <c r="H90" s="1111"/>
      <c r="I90" s="1111"/>
      <c r="J90" s="1111"/>
      <c r="K90" s="1111"/>
      <c r="L90" s="1111"/>
      <c r="M90" s="1111"/>
      <c r="N90" s="239"/>
    </row>
    <row r="91" spans="1:14">
      <c r="A91" s="1121" t="s">
        <v>1</v>
      </c>
      <c r="B91" s="1121"/>
      <c r="C91" s="1121"/>
      <c r="D91" s="1121"/>
      <c r="E91" s="1121"/>
      <c r="F91" s="1121"/>
      <c r="G91" s="1121"/>
      <c r="H91" s="1121"/>
      <c r="I91" s="1121"/>
      <c r="J91" s="1121"/>
      <c r="K91" s="1121"/>
      <c r="L91" s="1121"/>
      <c r="M91" s="1121"/>
      <c r="N91" s="239"/>
    </row>
    <row r="92" spans="1:14">
      <c r="A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3" t="s">
        <v>221</v>
      </c>
      <c r="N92" s="239"/>
    </row>
    <row r="93" spans="1:14">
      <c r="A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4"/>
      <c r="N93" s="239"/>
    </row>
    <row r="94" spans="1:14" ht="15" customHeight="1">
      <c r="A94" s="4"/>
      <c r="B94" s="5" t="s">
        <v>3</v>
      </c>
      <c r="C94" s="1141" t="s">
        <v>222</v>
      </c>
      <c r="D94" s="1141"/>
      <c r="E94" s="1141"/>
      <c r="F94" s="1141"/>
      <c r="G94" s="1141"/>
      <c r="H94" s="1141"/>
      <c r="I94" s="1141"/>
      <c r="J94" s="4"/>
      <c r="K94" s="4"/>
      <c r="L94" s="5" t="s">
        <v>5</v>
      </c>
      <c r="M94" s="8">
        <v>24315191.309999999</v>
      </c>
      <c r="N94" s="239"/>
    </row>
    <row r="95" spans="1:14">
      <c r="A95" s="4"/>
      <c r="B95" s="5" t="s">
        <v>7</v>
      </c>
      <c r="C95" s="9">
        <v>2</v>
      </c>
      <c r="D95" s="4"/>
      <c r="E95" s="6"/>
      <c r="F95" s="6"/>
      <c r="G95" s="6"/>
      <c r="H95" s="4"/>
      <c r="I95" s="4"/>
      <c r="J95" s="4"/>
      <c r="K95" s="4"/>
      <c r="L95" s="5" t="s">
        <v>8</v>
      </c>
      <c r="M95" s="8">
        <v>4863038.46</v>
      </c>
      <c r="N95" s="239"/>
    </row>
    <row r="96" spans="1:14">
      <c r="A96" s="4"/>
      <c r="B96" s="5" t="s">
        <v>9</v>
      </c>
      <c r="C96" s="6" t="s">
        <v>223</v>
      </c>
      <c r="D96" s="6"/>
      <c r="E96" s="6"/>
      <c r="F96" s="6" t="s">
        <v>161</v>
      </c>
      <c r="G96" s="10"/>
      <c r="H96" s="4"/>
      <c r="I96" s="4"/>
      <c r="J96" s="4"/>
      <c r="K96" s="4"/>
      <c r="L96" s="5" t="s">
        <v>11</v>
      </c>
      <c r="M96" s="11" t="s">
        <v>224</v>
      </c>
      <c r="N96" s="239"/>
    </row>
    <row r="97" spans="1:14">
      <c r="A97" s="4"/>
      <c r="B97" s="5" t="s">
        <v>13</v>
      </c>
      <c r="C97" s="6" t="s">
        <v>225</v>
      </c>
      <c r="D97" s="6"/>
      <c r="E97" s="6"/>
      <c r="F97" s="6"/>
      <c r="H97" s="4"/>
      <c r="I97" s="4"/>
      <c r="J97" s="4"/>
      <c r="K97" s="4"/>
      <c r="L97" s="4"/>
      <c r="M97" s="4"/>
      <c r="N97" s="239"/>
    </row>
    <row r="98" spans="1:14">
      <c r="A98" s="4"/>
      <c r="B98" s="4"/>
      <c r="C98" s="4"/>
      <c r="D98" s="4"/>
      <c r="E98" s="4"/>
      <c r="F98" s="6"/>
      <c r="G98" s="4"/>
      <c r="H98" s="4"/>
      <c r="I98" s="4"/>
      <c r="J98" s="4"/>
      <c r="K98" s="4"/>
      <c r="L98" s="4"/>
      <c r="M98" s="4"/>
      <c r="N98" s="239"/>
    </row>
    <row r="99" spans="1:14" ht="15.75">
      <c r="A99" s="188"/>
      <c r="B99" s="117"/>
      <c r="C99" s="189"/>
      <c r="D99" s="189"/>
      <c r="E99" s="117"/>
      <c r="F99" s="1168" t="s">
        <v>21</v>
      </c>
      <c r="G99" s="1168"/>
      <c r="H99" s="1123" t="s">
        <v>24</v>
      </c>
      <c r="I99" s="1123"/>
      <c r="J99" s="1111" t="s">
        <v>25</v>
      </c>
      <c r="K99" s="1111"/>
      <c r="L99" s="1111" t="s">
        <v>26</v>
      </c>
      <c r="M99" s="1111"/>
      <c r="N99" s="239"/>
    </row>
    <row r="100" spans="1:14" ht="15.75">
      <c r="A100" s="188"/>
      <c r="B100" s="9" t="s">
        <v>210</v>
      </c>
      <c r="C100" s="94"/>
      <c r="D100" s="94"/>
      <c r="E100" s="117"/>
      <c r="F100" s="1166">
        <f>F51</f>
        <v>21363735.055915199</v>
      </c>
      <c r="G100" s="1166"/>
      <c r="H100" s="1132">
        <f>K51</f>
        <v>8156299.7643375071</v>
      </c>
      <c r="I100" s="1132"/>
      <c r="J100" s="1132">
        <f>L51</f>
        <v>8282066.8387160012</v>
      </c>
      <c r="K100" s="1132"/>
      <c r="L100" s="1132">
        <f>H100+J100</f>
        <v>16438366.603053508</v>
      </c>
      <c r="M100" s="1132"/>
      <c r="N100" s="239"/>
    </row>
    <row r="101" spans="1:14" ht="15.75">
      <c r="A101" s="189"/>
      <c r="L101" s="1167"/>
      <c r="M101" s="1167"/>
    </row>
    <row r="102" spans="1:14" ht="15.75">
      <c r="A102" s="189"/>
      <c r="B102" s="9" t="s">
        <v>133</v>
      </c>
      <c r="L102" s="1120"/>
      <c r="M102" s="1120"/>
      <c r="N102" s="239"/>
    </row>
    <row r="103" spans="1:14" ht="15.75">
      <c r="A103" s="189"/>
      <c r="B103" s="6" t="s">
        <v>134</v>
      </c>
      <c r="C103" s="94"/>
      <c r="D103" s="96">
        <v>3.5000000000000003E-2</v>
      </c>
      <c r="E103" s="306"/>
      <c r="F103" s="1164">
        <f>F51*D103</f>
        <v>747730.72695703199</v>
      </c>
      <c r="G103" s="1164"/>
      <c r="H103" s="1155">
        <f>H100*D103</f>
        <v>285470.49175181275</v>
      </c>
      <c r="I103" s="1155"/>
      <c r="J103" s="1155">
        <f>J100*D103</f>
        <v>289872.33935506007</v>
      </c>
      <c r="K103" s="1155"/>
      <c r="L103" s="1157">
        <f>H103+J103</f>
        <v>575342.83110687276</v>
      </c>
      <c r="M103" s="1157"/>
      <c r="N103" s="239"/>
    </row>
    <row r="104" spans="1:14" ht="15.75">
      <c r="A104" s="307"/>
      <c r="B104" s="6" t="s">
        <v>135</v>
      </c>
      <c r="C104" s="94"/>
      <c r="D104" s="98">
        <v>0.1</v>
      </c>
      <c r="E104" s="117"/>
      <c r="F104" s="1164">
        <f>F51*D104</f>
        <v>2136373.5055915201</v>
      </c>
      <c r="G104" s="1164"/>
      <c r="H104" s="1155">
        <f>H100*D104</f>
        <v>815629.97643375071</v>
      </c>
      <c r="I104" s="1155"/>
      <c r="J104" s="1155">
        <f>J100*D104</f>
        <v>828206.68387160019</v>
      </c>
      <c r="K104" s="1155"/>
      <c r="L104" s="1157">
        <f t="shared" ref="L104:L109" si="19">H104+J104</f>
        <v>1643836.660305351</v>
      </c>
      <c r="M104" s="1157"/>
      <c r="N104" s="239"/>
    </row>
    <row r="105" spans="1:14" ht="15.75">
      <c r="A105" s="308"/>
      <c r="B105" s="6" t="s">
        <v>136</v>
      </c>
      <c r="C105" s="94"/>
      <c r="D105" s="98">
        <v>0.18</v>
      </c>
      <c r="E105" s="117"/>
      <c r="F105" s="1164">
        <f>F104*D105</f>
        <v>384547.23100647359</v>
      </c>
      <c r="G105" s="1164"/>
      <c r="H105" s="1155">
        <f>H104*D105</f>
        <v>146813.39575807512</v>
      </c>
      <c r="I105" s="1155"/>
      <c r="J105" s="1155">
        <f>J104*D105</f>
        <v>149077.20309688803</v>
      </c>
      <c r="K105" s="1155"/>
      <c r="L105" s="1157">
        <f t="shared" si="19"/>
        <v>295890.59885496314</v>
      </c>
      <c r="M105" s="1157"/>
      <c r="N105" s="239"/>
    </row>
    <row r="106" spans="1:14" ht="15.75">
      <c r="A106" s="188"/>
      <c r="B106" s="6" t="s">
        <v>137</v>
      </c>
      <c r="C106" s="98"/>
      <c r="D106" s="99">
        <v>0.03</v>
      </c>
      <c r="E106" s="117"/>
      <c r="F106" s="1165">
        <f>F51*D106</f>
        <v>640912.05167745601</v>
      </c>
      <c r="G106" s="1165"/>
      <c r="H106" s="1155">
        <f>H100*D106</f>
        <v>244688.99293012521</v>
      </c>
      <c r="I106" s="1155"/>
      <c r="J106" s="1155">
        <f>J100*D106</f>
        <v>248462.00516148002</v>
      </c>
      <c r="K106" s="1155"/>
      <c r="L106" s="1157">
        <f t="shared" si="19"/>
        <v>493150.99809160526</v>
      </c>
      <c r="M106" s="1157"/>
      <c r="N106" s="239"/>
    </row>
    <row r="107" spans="1:14" ht="15.75" customHeight="1">
      <c r="A107" s="188"/>
      <c r="B107" s="6" t="s">
        <v>138</v>
      </c>
      <c r="C107" s="94"/>
      <c r="D107" s="94">
        <v>0.02</v>
      </c>
      <c r="E107" s="307"/>
      <c r="F107" s="1163">
        <f>F51*D107</f>
        <v>427274.70111830399</v>
      </c>
      <c r="G107" s="1163"/>
      <c r="H107" s="1155">
        <f>H100*D107</f>
        <v>163125.99528675014</v>
      </c>
      <c r="I107" s="1155"/>
      <c r="J107" s="1155">
        <f>J100*D107</f>
        <v>165641.33677432002</v>
      </c>
      <c r="K107" s="1155"/>
      <c r="L107" s="1157">
        <f t="shared" si="19"/>
        <v>328767.33206107013</v>
      </c>
      <c r="M107" s="1157"/>
      <c r="N107" s="239"/>
    </row>
    <row r="108" spans="1:14" ht="15.75" customHeight="1">
      <c r="A108" s="309"/>
      <c r="B108" s="6" t="s">
        <v>139</v>
      </c>
      <c r="C108" s="94"/>
      <c r="D108" s="98">
        <v>0.01</v>
      </c>
      <c r="E108" s="310"/>
      <c r="F108" s="1161">
        <f>F51*D108</f>
        <v>213637.35055915199</v>
      </c>
      <c r="G108" s="1161"/>
      <c r="H108" s="1155">
        <f>H100*D108</f>
        <v>81562.997643375071</v>
      </c>
      <c r="I108" s="1155"/>
      <c r="J108" s="1155">
        <f>J100*D108</f>
        <v>82820.668387160011</v>
      </c>
      <c r="K108" s="1155"/>
      <c r="L108" s="1157">
        <f t="shared" si="19"/>
        <v>164383.66603053507</v>
      </c>
      <c r="M108" s="1157"/>
      <c r="N108" s="239"/>
    </row>
    <row r="109" spans="1:14" ht="15.75">
      <c r="A109" s="264"/>
      <c r="B109" s="6" t="s">
        <v>140</v>
      </c>
      <c r="C109" s="94"/>
      <c r="D109" s="94">
        <v>1E-3</v>
      </c>
      <c r="E109" s="117"/>
      <c r="F109" s="1161">
        <f>F51*D109</f>
        <v>21363.7350559152</v>
      </c>
      <c r="G109" s="1161"/>
      <c r="H109" s="1155">
        <f>H100*D109</f>
        <v>8156.2997643375074</v>
      </c>
      <c r="I109" s="1155"/>
      <c r="J109" s="1155">
        <f>J100*D109</f>
        <v>8282.0668387160022</v>
      </c>
      <c r="K109" s="1155"/>
      <c r="L109" s="1157">
        <f t="shared" si="19"/>
        <v>16438.36660305351</v>
      </c>
      <c r="M109" s="1157"/>
      <c r="N109" s="239"/>
    </row>
    <row r="110" spans="1:14" ht="15.75">
      <c r="A110" s="101"/>
      <c r="B110" s="6" t="s">
        <v>232</v>
      </c>
      <c r="C110" s="94"/>
      <c r="D110" s="98">
        <v>0.05</v>
      </c>
      <c r="E110" s="311"/>
      <c r="F110" s="1162">
        <f>F51*D110</f>
        <v>1068186.7527957601</v>
      </c>
      <c r="G110" s="1162"/>
      <c r="H110" s="1157"/>
      <c r="I110" s="1157"/>
      <c r="J110" s="1157"/>
      <c r="K110" s="1157"/>
      <c r="L110" s="1156"/>
      <c r="M110" s="1156"/>
      <c r="N110" s="239"/>
    </row>
    <row r="111" spans="1:14" ht="15.75">
      <c r="A111" s="101"/>
      <c r="B111" s="6" t="s">
        <v>233</v>
      </c>
      <c r="C111" s="103"/>
      <c r="D111" s="98">
        <v>0.05</v>
      </c>
      <c r="E111" s="312"/>
      <c r="F111" s="1155">
        <f>F51*D111</f>
        <v>1068186.7527957601</v>
      </c>
      <c r="G111" s="1155"/>
      <c r="H111" s="1156"/>
      <c r="I111" s="1156"/>
      <c r="J111" s="1157"/>
      <c r="K111" s="1157"/>
      <c r="L111" s="1158"/>
      <c r="M111" s="1158"/>
      <c r="N111" s="239"/>
    </row>
    <row r="112" spans="1:14" ht="15.75" customHeight="1">
      <c r="A112" s="101"/>
      <c r="B112" s="6" t="s">
        <v>234</v>
      </c>
      <c r="C112" s="103"/>
      <c r="D112" s="104">
        <v>1</v>
      </c>
      <c r="E112" s="232"/>
      <c r="F112" s="1159">
        <v>150000</v>
      </c>
      <c r="G112" s="1159"/>
      <c r="H112" s="1156"/>
      <c r="I112" s="1156"/>
      <c r="J112" s="1156"/>
      <c r="K112" s="1156"/>
      <c r="L112" s="1160"/>
      <c r="M112" s="1160"/>
      <c r="N112" s="274"/>
    </row>
    <row r="113" spans="1:14" ht="15.75">
      <c r="A113" s="101"/>
      <c r="B113" s="232"/>
      <c r="C113" s="233"/>
      <c r="D113" s="234"/>
      <c r="E113" s="234"/>
      <c r="F113" s="234"/>
      <c r="G113" s="117"/>
      <c r="H113" s="1137"/>
      <c r="I113" s="1137"/>
      <c r="J113" s="1138"/>
      <c r="K113" s="1138"/>
      <c r="L113" s="1153"/>
      <c r="M113" s="1153"/>
      <c r="N113" s="274"/>
    </row>
    <row r="114" spans="1:14" ht="15.75" customHeight="1">
      <c r="A114" s="313"/>
      <c r="B114" s="102" t="s">
        <v>141</v>
      </c>
      <c r="C114" s="233"/>
      <c r="D114" s="234"/>
      <c r="E114" s="234"/>
      <c r="F114" s="1154">
        <f>SUM(F103:F113)</f>
        <v>6858212.8075573724</v>
      </c>
      <c r="G114" s="1154"/>
      <c r="H114" s="1136">
        <f>SUM(H103:I112)</f>
        <v>1745448.1495682267</v>
      </c>
      <c r="I114" s="1136"/>
      <c r="J114" s="1130">
        <f>SUM(J103:K113)</f>
        <v>1772362.3034852243</v>
      </c>
      <c r="K114" s="1130"/>
      <c r="L114" s="1130">
        <f>SUM(L103:L113)</f>
        <v>3517810.4530534511</v>
      </c>
      <c r="M114" s="1130"/>
      <c r="N114" s="274"/>
    </row>
    <row r="115" spans="1:14" ht="15.75">
      <c r="A115" s="313"/>
      <c r="B115" s="102"/>
      <c r="C115" s="233"/>
      <c r="D115" s="234"/>
      <c r="E115" s="234"/>
      <c r="F115" s="314"/>
      <c r="G115" s="117"/>
      <c r="H115" s="315"/>
      <c r="I115" s="315"/>
      <c r="J115" s="316"/>
      <c r="K115" s="316"/>
      <c r="L115" s="1152"/>
      <c r="M115" s="1152"/>
      <c r="N115" s="274"/>
    </row>
    <row r="116" spans="1:14" ht="15.75">
      <c r="A116" s="313"/>
      <c r="B116" s="102" t="s">
        <v>143</v>
      </c>
      <c r="C116" s="233"/>
      <c r="D116" s="234"/>
      <c r="E116" s="234"/>
      <c r="F116" s="314"/>
      <c r="G116" s="117"/>
      <c r="H116" s="1136">
        <f>H100+H114</f>
        <v>9901747.9139057342</v>
      </c>
      <c r="I116" s="1136"/>
      <c r="J116" s="1130">
        <f>J100+J114</f>
        <v>10054429.142201226</v>
      </c>
      <c r="K116" s="1130"/>
      <c r="L116" s="1130">
        <f>L100+L114</f>
        <v>19956177.056106959</v>
      </c>
      <c r="M116" s="1130"/>
      <c r="N116" s="274"/>
    </row>
    <row r="117" spans="1:14" ht="15.75">
      <c r="B117" s="118"/>
      <c r="C117" s="317"/>
      <c r="D117" s="234"/>
      <c r="E117" s="234"/>
      <c r="F117" s="314"/>
      <c r="G117" s="117"/>
      <c r="H117" s="318"/>
      <c r="I117" s="318"/>
      <c r="K117" s="274"/>
      <c r="L117" s="274"/>
      <c r="M117" s="274"/>
      <c r="N117" s="274"/>
    </row>
    <row r="118" spans="1:14" ht="15.75">
      <c r="B118" s="9" t="s">
        <v>145</v>
      </c>
      <c r="C118" s="3"/>
      <c r="D118" s="109">
        <v>0.2</v>
      </c>
      <c r="E118" s="319"/>
      <c r="F118" s="319"/>
      <c r="G118" s="117"/>
      <c r="H118" s="1130">
        <f>D118*H116</f>
        <v>1980349.582781147</v>
      </c>
      <c r="I118" s="1130"/>
      <c r="J118" s="1130">
        <f>D118*J116</f>
        <v>2010885.8284402452</v>
      </c>
      <c r="K118" s="1130"/>
      <c r="L118" s="1130">
        <f>H118+J118</f>
        <v>3991235.4112213925</v>
      </c>
      <c r="M118" s="1130"/>
      <c r="N118" s="274"/>
    </row>
    <row r="119" spans="1:14">
      <c r="H119" s="320"/>
      <c r="I119" s="320"/>
      <c r="J119" s="321"/>
      <c r="K119" s="321"/>
      <c r="L119" s="321"/>
      <c r="M119" s="321"/>
      <c r="N119" s="274"/>
    </row>
    <row r="120" spans="1:14">
      <c r="B120" s="112" t="s">
        <v>235</v>
      </c>
      <c r="H120" s="1130">
        <f>H116-H118</f>
        <v>7921398.331124587</v>
      </c>
      <c r="I120" s="1130"/>
      <c r="J120" s="1151">
        <f>J116-J118</f>
        <v>8043543.313760981</v>
      </c>
      <c r="K120" s="1151"/>
      <c r="L120" s="1130">
        <f>H120+J120</f>
        <v>15964941.644885568</v>
      </c>
      <c r="M120" s="1130"/>
      <c r="N120" s="244"/>
    </row>
    <row r="121" spans="1:14">
      <c r="J121" s="232"/>
      <c r="K121" s="274"/>
      <c r="L121" s="274"/>
      <c r="M121" s="274"/>
      <c r="N121" s="244">
        <f>J120+J108+J109</f>
        <v>8134646.0489868568</v>
      </c>
    </row>
    <row r="122" spans="1:14">
      <c r="K122" s="244"/>
      <c r="L122" s="244"/>
      <c r="M122" s="244"/>
      <c r="N122" s="244"/>
    </row>
    <row r="123" spans="1:14">
      <c r="C123" s="1111" t="s">
        <v>147</v>
      </c>
      <c r="D123" s="1111"/>
      <c r="E123" s="1111"/>
      <c r="F123" s="1111" t="s">
        <v>148</v>
      </c>
      <c r="G123" s="1111"/>
      <c r="H123" s="1111"/>
      <c r="I123" s="1111"/>
      <c r="J123" s="1"/>
      <c r="K123" s="6" t="s">
        <v>149</v>
      </c>
      <c r="L123" s="6"/>
      <c r="M123" s="6"/>
    </row>
    <row r="124" spans="1:14"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4">
      <c r="C125" s="1"/>
      <c r="D125" s="1" t="s">
        <v>150</v>
      </c>
      <c r="E125" s="1"/>
      <c r="F125" s="1"/>
      <c r="G125" s="1"/>
      <c r="H125" s="1" t="s">
        <v>151</v>
      </c>
      <c r="I125" s="1"/>
      <c r="J125" s="1"/>
      <c r="K125" s="114" t="s">
        <v>236</v>
      </c>
      <c r="L125" s="114"/>
    </row>
    <row r="126" spans="1:14">
      <c r="C126" s="1"/>
      <c r="D126" s="1" t="s">
        <v>154</v>
      </c>
      <c r="E126" s="1"/>
      <c r="F126" s="1"/>
      <c r="G126" s="1"/>
      <c r="H126" s="1" t="s">
        <v>155</v>
      </c>
      <c r="I126" s="1"/>
      <c r="J126" s="1"/>
      <c r="K126" s="1" t="s">
        <v>237</v>
      </c>
      <c r="L126" s="1"/>
      <c r="M126" s="3"/>
    </row>
  </sheetData>
  <mergeCells count="78">
    <mergeCell ref="A2:M2"/>
    <mergeCell ref="A3:M3"/>
    <mergeCell ref="C5:I5"/>
    <mergeCell ref="A9:F9"/>
    <mergeCell ref="G9:J9"/>
    <mergeCell ref="K9:M9"/>
    <mergeCell ref="L102:M102"/>
    <mergeCell ref="A90:M90"/>
    <mergeCell ref="A91:M91"/>
    <mergeCell ref="C94:I94"/>
    <mergeCell ref="F99:G99"/>
    <mergeCell ref="H99:I99"/>
    <mergeCell ref="J99:K99"/>
    <mergeCell ref="L99:M99"/>
    <mergeCell ref="F100:G100"/>
    <mergeCell ref="H100:I100"/>
    <mergeCell ref="J100:K100"/>
    <mergeCell ref="L100:M100"/>
    <mergeCell ref="L101:M101"/>
    <mergeCell ref="F103:G103"/>
    <mergeCell ref="H103:I103"/>
    <mergeCell ref="J103:K103"/>
    <mergeCell ref="L103:M103"/>
    <mergeCell ref="F104:G104"/>
    <mergeCell ref="H104:I104"/>
    <mergeCell ref="J104:K104"/>
    <mergeCell ref="L104:M104"/>
    <mergeCell ref="F105:G105"/>
    <mergeCell ref="H105:I105"/>
    <mergeCell ref="J105:K105"/>
    <mergeCell ref="L105:M105"/>
    <mergeCell ref="F106:G106"/>
    <mergeCell ref="H106:I106"/>
    <mergeCell ref="J106:K106"/>
    <mergeCell ref="L106:M106"/>
    <mergeCell ref="F107:G107"/>
    <mergeCell ref="H107:I107"/>
    <mergeCell ref="J107:K107"/>
    <mergeCell ref="L107:M107"/>
    <mergeCell ref="F108:G108"/>
    <mergeCell ref="H108:I108"/>
    <mergeCell ref="J108:K108"/>
    <mergeCell ref="L108:M108"/>
    <mergeCell ref="F109:G109"/>
    <mergeCell ref="H109:I109"/>
    <mergeCell ref="J109:K109"/>
    <mergeCell ref="L109:M109"/>
    <mergeCell ref="F110:G110"/>
    <mergeCell ref="H110:I110"/>
    <mergeCell ref="J110:K110"/>
    <mergeCell ref="L110:M110"/>
    <mergeCell ref="F111:G111"/>
    <mergeCell ref="H111:I111"/>
    <mergeCell ref="J111:K111"/>
    <mergeCell ref="L111:M111"/>
    <mergeCell ref="F112:G112"/>
    <mergeCell ref="H112:I112"/>
    <mergeCell ref="J112:K112"/>
    <mergeCell ref="L112:M112"/>
    <mergeCell ref="H113:I113"/>
    <mergeCell ref="J113:K113"/>
    <mergeCell ref="L113:M113"/>
    <mergeCell ref="F114:G114"/>
    <mergeCell ref="H114:I114"/>
    <mergeCell ref="J114:K114"/>
    <mergeCell ref="L114:M114"/>
    <mergeCell ref="L115:M115"/>
    <mergeCell ref="H116:I116"/>
    <mergeCell ref="J116:K116"/>
    <mergeCell ref="L116:M116"/>
    <mergeCell ref="H118:I118"/>
    <mergeCell ref="J118:K118"/>
    <mergeCell ref="L118:M118"/>
    <mergeCell ref="H120:I120"/>
    <mergeCell ref="J120:K120"/>
    <mergeCell ref="L120:M120"/>
    <mergeCell ref="C123:E123"/>
    <mergeCell ref="F123:I123"/>
  </mergeCells>
  <pageMargins left="0.70866141732283472" right="0.70866141732283472" top="0.74803149606299213" bottom="0.74803149606299213" header="0.31496062992125984" footer="0.31496062992125984"/>
  <pageSetup paperSize="5" scale="75" orientation="landscape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650A46-AC93-45E7-83E0-57355B98CF37}">
  <dimension ref="A1:O245"/>
  <sheetViews>
    <sheetView topLeftCell="A208" workbookViewId="0">
      <selection activeCell="O236" sqref="O236"/>
    </sheetView>
  </sheetViews>
  <sheetFormatPr baseColWidth="10" defaultRowHeight="15"/>
  <cols>
    <col min="2" max="2" width="31.7109375" bestFit="1" customWidth="1"/>
    <col min="6" max="6" width="14.7109375" bestFit="1" customWidth="1"/>
    <col min="11" max="11" width="14.7109375" bestFit="1" customWidth="1"/>
    <col min="12" max="12" width="13.85546875" bestFit="1" customWidth="1"/>
    <col min="13" max="13" width="14.7109375" bestFit="1" customWidth="1"/>
    <col min="14" max="14" width="11.7109375" bestFit="1" customWidth="1"/>
    <col min="15" max="15" width="13.7109375" bestFit="1" customWidth="1"/>
  </cols>
  <sheetData>
    <row r="1" spans="1:14">
      <c r="A1" s="1111" t="s">
        <v>0</v>
      </c>
      <c r="B1" s="1111"/>
      <c r="C1" s="1111"/>
      <c r="D1" s="1111"/>
      <c r="E1" s="1111"/>
      <c r="F1" s="1111"/>
      <c r="G1" s="1111"/>
      <c r="H1" s="1111"/>
      <c r="I1" s="1111"/>
      <c r="J1" s="1111"/>
      <c r="K1" s="1111"/>
      <c r="L1" s="1111"/>
      <c r="M1" s="1111"/>
    </row>
    <row r="2" spans="1:14">
      <c r="A2" s="1121" t="s">
        <v>1</v>
      </c>
      <c r="B2" s="1121"/>
      <c r="C2" s="1121"/>
      <c r="D2" s="1121"/>
      <c r="E2" s="1121"/>
      <c r="F2" s="1121"/>
      <c r="G2" s="1121"/>
      <c r="H2" s="1121"/>
      <c r="I2" s="1121"/>
      <c r="J2" s="1121"/>
      <c r="K2" s="1121"/>
      <c r="L2" s="1121"/>
      <c r="M2" s="1121"/>
    </row>
    <row r="3" spans="1:14">
      <c r="A3" s="2"/>
      <c r="B3" s="2"/>
      <c r="C3" s="2"/>
      <c r="D3" s="2"/>
      <c r="E3" s="2"/>
      <c r="F3" s="2"/>
      <c r="G3" s="2"/>
      <c r="H3" s="2"/>
      <c r="I3" s="2"/>
      <c r="J3" s="2"/>
      <c r="K3" s="322"/>
      <c r="L3" s="2"/>
      <c r="M3" s="3" t="s">
        <v>238</v>
      </c>
    </row>
    <row r="4" spans="1:14">
      <c r="A4" s="4"/>
      <c r="D4" s="6"/>
      <c r="E4" s="6"/>
      <c r="F4" s="6"/>
      <c r="G4" s="7"/>
      <c r="H4" s="4"/>
      <c r="I4" s="4"/>
      <c r="J4" s="4"/>
      <c r="K4" s="323"/>
      <c r="L4" s="5" t="s">
        <v>5</v>
      </c>
      <c r="M4" s="324" t="s">
        <v>239</v>
      </c>
    </row>
    <row r="5" spans="1:14">
      <c r="A5" s="4"/>
      <c r="B5" s="5" t="s">
        <v>3</v>
      </c>
      <c r="C5" s="6" t="s">
        <v>240</v>
      </c>
      <c r="D5" s="4"/>
      <c r="E5" s="6"/>
      <c r="F5" s="6"/>
      <c r="G5" s="6"/>
      <c r="H5" s="4"/>
      <c r="I5" s="4"/>
      <c r="J5" s="4"/>
      <c r="K5" s="323"/>
      <c r="L5" s="5" t="s">
        <v>8</v>
      </c>
      <c r="M5" s="324" t="s">
        <v>241</v>
      </c>
    </row>
    <row r="6" spans="1:14">
      <c r="A6" s="4"/>
      <c r="B6" s="5" t="s">
        <v>242</v>
      </c>
      <c r="C6" s="9">
        <v>4</v>
      </c>
      <c r="D6" s="4"/>
      <c r="E6" s="6"/>
      <c r="F6" s="6"/>
      <c r="G6" s="6"/>
      <c r="H6" s="4"/>
      <c r="I6" s="4"/>
      <c r="J6" s="4"/>
      <c r="K6" s="323"/>
      <c r="L6" s="5" t="s">
        <v>158</v>
      </c>
      <c r="M6" s="8" t="s">
        <v>243</v>
      </c>
    </row>
    <row r="7" spans="1:14">
      <c r="A7" s="4"/>
      <c r="B7" s="5" t="s">
        <v>9</v>
      </c>
      <c r="C7" s="6" t="s">
        <v>244</v>
      </c>
      <c r="D7" s="6"/>
      <c r="E7" s="6"/>
      <c r="F7" s="6"/>
      <c r="G7" s="10"/>
      <c r="H7" s="4"/>
      <c r="I7" s="4"/>
      <c r="J7" s="4"/>
      <c r="K7" s="323"/>
      <c r="L7" s="5" t="s">
        <v>245</v>
      </c>
      <c r="M7" s="11" t="s">
        <v>246</v>
      </c>
    </row>
    <row r="8" spans="1:14">
      <c r="A8" s="4"/>
      <c r="B8" s="5" t="s">
        <v>13</v>
      </c>
      <c r="C8" s="6" t="s">
        <v>247</v>
      </c>
      <c r="D8" s="6"/>
      <c r="E8" s="6"/>
      <c r="F8" s="6"/>
      <c r="G8" s="6"/>
      <c r="H8" s="4"/>
      <c r="I8" s="4"/>
      <c r="J8" s="4"/>
      <c r="K8" s="323"/>
      <c r="L8" s="4"/>
      <c r="M8" s="4"/>
    </row>
    <row r="9" spans="1:14">
      <c r="A9" s="1124" t="s">
        <v>15</v>
      </c>
      <c r="B9" s="1124"/>
      <c r="C9" s="1124"/>
      <c r="D9" s="1124"/>
      <c r="E9" s="1124"/>
      <c r="F9" s="1124"/>
      <c r="G9" s="1177" t="s">
        <v>16</v>
      </c>
      <c r="H9" s="1177"/>
      <c r="I9" s="1177"/>
      <c r="J9" s="1177"/>
      <c r="K9" s="1178" t="s">
        <v>17</v>
      </c>
      <c r="L9" s="1178"/>
      <c r="M9" s="1178"/>
    </row>
    <row r="10" spans="1:14" ht="15.75" thickBot="1">
      <c r="A10" s="325" t="s">
        <v>18</v>
      </c>
      <c r="B10" s="326" t="s">
        <v>19</v>
      </c>
      <c r="C10" s="326" t="s">
        <v>248</v>
      </c>
      <c r="D10" s="326" t="s">
        <v>21</v>
      </c>
      <c r="E10" s="327" t="s">
        <v>249</v>
      </c>
      <c r="F10" s="328" t="s">
        <v>23</v>
      </c>
      <c r="G10" s="329" t="s">
        <v>24</v>
      </c>
      <c r="H10" s="330" t="s">
        <v>25</v>
      </c>
      <c r="I10" s="331" t="s">
        <v>26</v>
      </c>
      <c r="J10" s="332" t="s">
        <v>27</v>
      </c>
      <c r="K10" s="333" t="s">
        <v>24</v>
      </c>
      <c r="L10" s="334" t="s">
        <v>25</v>
      </c>
      <c r="M10" s="335" t="s">
        <v>26</v>
      </c>
    </row>
    <row r="11" spans="1:14">
      <c r="A11" s="336">
        <v>1</v>
      </c>
      <c r="B11" s="23" t="s">
        <v>28</v>
      </c>
      <c r="C11" s="337"/>
      <c r="D11" s="337"/>
      <c r="E11" s="337"/>
      <c r="F11" s="337"/>
      <c r="G11" s="338"/>
      <c r="H11" s="338"/>
      <c r="I11" s="339"/>
      <c r="J11" s="340"/>
      <c r="K11" s="341"/>
      <c r="L11" s="342"/>
      <c r="M11" s="343"/>
    </row>
    <row r="12" spans="1:14">
      <c r="A12" s="344">
        <f>A11+0.01</f>
        <v>1.01</v>
      </c>
      <c r="B12" s="24" t="s">
        <v>250</v>
      </c>
      <c r="C12" s="345" t="s">
        <v>251</v>
      </c>
      <c r="D12" s="26">
        <v>6</v>
      </c>
      <c r="E12" s="346">
        <v>98000</v>
      </c>
      <c r="F12" s="347">
        <f>D12*E12</f>
        <v>588000</v>
      </c>
      <c r="G12" s="348">
        <v>6</v>
      </c>
      <c r="H12" s="338"/>
      <c r="I12" s="349">
        <f>G12+H12</f>
        <v>6</v>
      </c>
      <c r="J12" s="350">
        <f>I12/D12</f>
        <v>1</v>
      </c>
      <c r="K12" s="351">
        <f>G12*E12</f>
        <v>588000</v>
      </c>
      <c r="L12" s="351"/>
      <c r="M12" s="352">
        <f>K12+L12</f>
        <v>588000</v>
      </c>
      <c r="N12" s="232"/>
    </row>
    <row r="13" spans="1:14">
      <c r="A13" s="344">
        <f t="shared" ref="A13:A17" si="0">A12+0.01</f>
        <v>1.02</v>
      </c>
      <c r="B13" s="24" t="s">
        <v>252</v>
      </c>
      <c r="C13" s="345" t="s">
        <v>253</v>
      </c>
      <c r="D13" s="26">
        <v>1.18</v>
      </c>
      <c r="E13" s="346">
        <v>40000</v>
      </c>
      <c r="F13" s="347">
        <f t="shared" ref="F13:F65" si="1">D13*E13</f>
        <v>47200</v>
      </c>
      <c r="G13" s="348">
        <v>1.18</v>
      </c>
      <c r="H13" s="353"/>
      <c r="I13" s="349">
        <f>G13+H13</f>
        <v>1.18</v>
      </c>
      <c r="J13" s="350">
        <f>I13/D13</f>
        <v>1</v>
      </c>
      <c r="K13" s="351">
        <f t="shared" ref="K13:K16" si="2">G13*E13</f>
        <v>47200</v>
      </c>
      <c r="L13" s="354"/>
      <c r="M13" s="352">
        <f t="shared" ref="M13:M16" si="3">K13+L13</f>
        <v>47200</v>
      </c>
      <c r="N13" s="232"/>
    </row>
    <row r="14" spans="1:14">
      <c r="A14" s="344">
        <f t="shared" si="0"/>
        <v>1.03</v>
      </c>
      <c r="B14" s="24" t="s">
        <v>254</v>
      </c>
      <c r="C14" s="345" t="s">
        <v>251</v>
      </c>
      <c r="D14" s="26">
        <v>6</v>
      </c>
      <c r="E14" s="346">
        <v>30000</v>
      </c>
      <c r="F14" s="347">
        <f t="shared" si="1"/>
        <v>180000</v>
      </c>
      <c r="G14" s="338">
        <v>6</v>
      </c>
      <c r="H14" s="338"/>
      <c r="I14" s="349">
        <f>G14+H14</f>
        <v>6</v>
      </c>
      <c r="J14" s="350">
        <f>I14/D14</f>
        <v>1</v>
      </c>
      <c r="K14" s="351">
        <f t="shared" si="2"/>
        <v>180000</v>
      </c>
      <c r="L14" s="354"/>
      <c r="M14" s="352">
        <f t="shared" si="3"/>
        <v>180000</v>
      </c>
      <c r="N14" s="232"/>
    </row>
    <row r="15" spans="1:14">
      <c r="A15" s="344">
        <f t="shared" si="0"/>
        <v>1.04</v>
      </c>
      <c r="B15" s="24" t="s">
        <v>255</v>
      </c>
      <c r="C15" s="345" t="s">
        <v>45</v>
      </c>
      <c r="D15" s="26">
        <v>1</v>
      </c>
      <c r="E15" s="346">
        <v>30000</v>
      </c>
      <c r="F15" s="347">
        <f t="shared" si="1"/>
        <v>30000</v>
      </c>
      <c r="G15" s="338">
        <v>1</v>
      </c>
      <c r="H15" s="338"/>
      <c r="I15" s="349">
        <f t="shared" ref="I15:I16" si="4">G15+H15</f>
        <v>1</v>
      </c>
      <c r="J15" s="350">
        <f t="shared" ref="J15:J16" si="5">I15/D15</f>
        <v>1</v>
      </c>
      <c r="K15" s="351">
        <f t="shared" si="2"/>
        <v>30000</v>
      </c>
      <c r="L15" s="351"/>
      <c r="M15" s="352">
        <f t="shared" si="3"/>
        <v>30000</v>
      </c>
      <c r="N15" s="232"/>
    </row>
    <row r="16" spans="1:14" ht="24.75">
      <c r="A16" s="344">
        <f t="shared" si="0"/>
        <v>1.05</v>
      </c>
      <c r="B16" s="66" t="s">
        <v>256</v>
      </c>
      <c r="C16" s="345" t="s">
        <v>45</v>
      </c>
      <c r="D16" s="26">
        <v>3</v>
      </c>
      <c r="E16" s="346">
        <v>9500</v>
      </c>
      <c r="F16" s="347">
        <f t="shared" si="1"/>
        <v>28500</v>
      </c>
      <c r="G16" s="338">
        <v>3</v>
      </c>
      <c r="H16" s="338"/>
      <c r="I16" s="349">
        <f t="shared" si="4"/>
        <v>3</v>
      </c>
      <c r="J16" s="350">
        <f t="shared" si="5"/>
        <v>1</v>
      </c>
      <c r="K16" s="351">
        <f t="shared" si="2"/>
        <v>28500</v>
      </c>
      <c r="L16" s="351"/>
      <c r="M16" s="352">
        <f t="shared" si="3"/>
        <v>28500</v>
      </c>
      <c r="N16" s="232"/>
    </row>
    <row r="17" spans="1:14">
      <c r="A17" s="344">
        <f t="shared" si="0"/>
        <v>1.06</v>
      </c>
      <c r="B17" s="23" t="s">
        <v>257</v>
      </c>
      <c r="C17" s="355"/>
      <c r="D17" s="355"/>
      <c r="E17" s="355"/>
      <c r="F17" s="356">
        <f>SUM(F12:F16)</f>
        <v>873700</v>
      </c>
      <c r="G17" s="353"/>
      <c r="H17" s="353"/>
      <c r="I17" s="353"/>
      <c r="J17" s="353"/>
      <c r="K17" s="357">
        <f>SUM(K12:K16)</f>
        <v>873700</v>
      </c>
      <c r="L17" s="358"/>
      <c r="M17" s="359">
        <f>SUM(M12:M16)</f>
        <v>873700</v>
      </c>
      <c r="N17" s="232"/>
    </row>
    <row r="18" spans="1:14">
      <c r="A18" s="336">
        <v>2</v>
      </c>
      <c r="B18" s="23" t="s">
        <v>258</v>
      </c>
      <c r="C18" s="355"/>
      <c r="D18" s="355"/>
      <c r="E18" s="355"/>
      <c r="F18" s="347"/>
      <c r="G18" s="353"/>
      <c r="H18" s="353"/>
      <c r="I18" s="353"/>
      <c r="J18" s="353"/>
      <c r="K18" s="341"/>
      <c r="L18" s="360"/>
      <c r="M18" s="352"/>
      <c r="N18" s="232"/>
    </row>
    <row r="19" spans="1:14">
      <c r="A19" s="344">
        <f>A18+0.01</f>
        <v>2.0099999999999998</v>
      </c>
      <c r="B19" s="24" t="s">
        <v>259</v>
      </c>
      <c r="C19" s="361" t="s">
        <v>260</v>
      </c>
      <c r="D19" s="26">
        <v>8</v>
      </c>
      <c r="E19" s="346">
        <v>2200</v>
      </c>
      <c r="F19" s="347">
        <f t="shared" si="1"/>
        <v>17600</v>
      </c>
      <c r="G19" s="338">
        <v>8</v>
      </c>
      <c r="H19" s="338"/>
      <c r="I19" s="349">
        <f>G19+H19</f>
        <v>8</v>
      </c>
      <c r="J19" s="350">
        <f>I19/D19</f>
        <v>1</v>
      </c>
      <c r="K19" s="351">
        <f t="shared" ref="K19:K20" si="6">G19*E19</f>
        <v>17600</v>
      </c>
      <c r="L19" s="351"/>
      <c r="M19" s="352">
        <f t="shared" ref="M19:M21" si="7">K19+L19</f>
        <v>17600</v>
      </c>
      <c r="N19" s="232"/>
    </row>
    <row r="20" spans="1:14">
      <c r="A20" s="344">
        <f t="shared" ref="A20:A21" si="8">A19+0.01</f>
        <v>2.0199999999999996</v>
      </c>
      <c r="B20" s="24" t="s">
        <v>261</v>
      </c>
      <c r="C20" s="345" t="s">
        <v>45</v>
      </c>
      <c r="D20" s="26">
        <v>1</v>
      </c>
      <c r="E20" s="346">
        <v>45000</v>
      </c>
      <c r="F20" s="347">
        <f t="shared" si="1"/>
        <v>45000</v>
      </c>
      <c r="G20" s="338">
        <v>1</v>
      </c>
      <c r="H20" s="338"/>
      <c r="I20" s="349">
        <f t="shared" ref="I20" si="9">G20+H20</f>
        <v>1</v>
      </c>
      <c r="J20" s="350">
        <f t="shared" ref="J20" si="10">I20/D20</f>
        <v>1</v>
      </c>
      <c r="K20" s="351">
        <f t="shared" si="6"/>
        <v>45000</v>
      </c>
      <c r="L20" s="351"/>
      <c r="M20" s="352">
        <f t="shared" si="7"/>
        <v>45000</v>
      </c>
      <c r="N20" s="232"/>
    </row>
    <row r="21" spans="1:14">
      <c r="A21" s="344">
        <f t="shared" si="8"/>
        <v>2.0299999999999994</v>
      </c>
      <c r="B21" s="68" t="s">
        <v>257</v>
      </c>
      <c r="C21" s="355"/>
      <c r="D21" s="355"/>
      <c r="E21" s="355"/>
      <c r="F21" s="356">
        <f>SUM(F19:F20)</f>
        <v>62600</v>
      </c>
      <c r="G21" s="353"/>
      <c r="H21" s="353"/>
      <c r="I21" s="353"/>
      <c r="J21" s="353"/>
      <c r="K21" s="357">
        <f>SUM(K19:K20)</f>
        <v>62600</v>
      </c>
      <c r="L21" s="358"/>
      <c r="M21" s="359">
        <f t="shared" si="7"/>
        <v>62600</v>
      </c>
      <c r="N21" s="232"/>
    </row>
    <row r="22" spans="1:14">
      <c r="A22" s="336">
        <v>3</v>
      </c>
      <c r="B22" s="68" t="s">
        <v>262</v>
      </c>
      <c r="C22" s="355"/>
      <c r="D22" s="355"/>
      <c r="E22" s="355"/>
      <c r="F22" s="347"/>
      <c r="G22" s="353"/>
      <c r="H22" s="353"/>
      <c r="I22" s="353"/>
      <c r="J22" s="353"/>
      <c r="K22" s="341"/>
      <c r="L22" s="360"/>
      <c r="M22" s="352"/>
      <c r="N22" s="232"/>
    </row>
    <row r="23" spans="1:14">
      <c r="A23" s="344">
        <f>A22+0.01</f>
        <v>3.01</v>
      </c>
      <c r="B23" s="75" t="s">
        <v>263</v>
      </c>
      <c r="C23" s="345" t="s">
        <v>32</v>
      </c>
      <c r="D23" s="26">
        <v>1</v>
      </c>
      <c r="E23" s="26">
        <v>8500</v>
      </c>
      <c r="F23" s="347">
        <f t="shared" si="1"/>
        <v>8500</v>
      </c>
      <c r="G23" s="338">
        <v>1</v>
      </c>
      <c r="H23" s="353"/>
      <c r="I23" s="349">
        <f>G23+H23</f>
        <v>1</v>
      </c>
      <c r="J23" s="350">
        <f>I23/D23</f>
        <v>1</v>
      </c>
      <c r="K23" s="351">
        <f>G23*E23</f>
        <v>8500</v>
      </c>
      <c r="L23" s="354"/>
      <c r="M23" s="352">
        <f>K23+L23</f>
        <v>8500</v>
      </c>
      <c r="N23" s="232"/>
    </row>
    <row r="24" spans="1:14">
      <c r="A24" s="344">
        <f t="shared" ref="A24:A37" si="11">A23+0.01</f>
        <v>3.0199999999999996</v>
      </c>
      <c r="B24" s="75" t="s">
        <v>264</v>
      </c>
      <c r="C24" s="345" t="s">
        <v>36</v>
      </c>
      <c r="D24" s="26">
        <v>2.52</v>
      </c>
      <c r="E24" s="26">
        <v>7500</v>
      </c>
      <c r="F24" s="347">
        <f t="shared" si="1"/>
        <v>18900</v>
      </c>
      <c r="G24" s="362">
        <v>2.52</v>
      </c>
      <c r="H24" s="362"/>
      <c r="I24" s="349">
        <f t="shared" ref="I24:I36" si="12">G24+H24</f>
        <v>2.52</v>
      </c>
      <c r="J24" s="350">
        <f t="shared" ref="J24:J36" si="13">I24/D24</f>
        <v>1</v>
      </c>
      <c r="K24" s="351">
        <f t="shared" ref="K24:K36" si="14">G24*E24</f>
        <v>18900</v>
      </c>
      <c r="L24" s="354"/>
      <c r="M24" s="352">
        <f t="shared" ref="M24:M37" si="15">K24+L24</f>
        <v>18900</v>
      </c>
      <c r="N24" s="232"/>
    </row>
    <row r="25" spans="1:14">
      <c r="A25" s="344">
        <f t="shared" si="11"/>
        <v>3.0299999999999994</v>
      </c>
      <c r="B25" s="75" t="s">
        <v>265</v>
      </c>
      <c r="C25" s="345" t="s">
        <v>36</v>
      </c>
      <c r="D25" s="26">
        <v>0.53</v>
      </c>
      <c r="E25" s="26">
        <v>14500</v>
      </c>
      <c r="F25" s="347">
        <f t="shared" si="1"/>
        <v>7685</v>
      </c>
      <c r="G25" s="363">
        <v>0.53</v>
      </c>
      <c r="H25" s="362"/>
      <c r="I25" s="349">
        <f t="shared" si="12"/>
        <v>0.53</v>
      </c>
      <c r="J25" s="350">
        <f t="shared" si="13"/>
        <v>1</v>
      </c>
      <c r="K25" s="351">
        <f t="shared" si="14"/>
        <v>7685</v>
      </c>
      <c r="L25" s="354"/>
      <c r="M25" s="352">
        <f t="shared" si="15"/>
        <v>7685</v>
      </c>
      <c r="N25" s="232"/>
    </row>
    <row r="26" spans="1:14" ht="24">
      <c r="A26" s="344">
        <f t="shared" si="11"/>
        <v>3.0399999999999991</v>
      </c>
      <c r="B26" s="72" t="s">
        <v>266</v>
      </c>
      <c r="C26" s="345" t="s">
        <v>58</v>
      </c>
      <c r="D26" s="26">
        <v>28.45</v>
      </c>
      <c r="E26" s="26">
        <v>120</v>
      </c>
      <c r="F26" s="347">
        <f t="shared" si="1"/>
        <v>3414</v>
      </c>
      <c r="G26" s="364">
        <v>28.45</v>
      </c>
      <c r="H26" s="362"/>
      <c r="I26" s="349">
        <f t="shared" si="12"/>
        <v>28.45</v>
      </c>
      <c r="J26" s="350">
        <f t="shared" si="13"/>
        <v>1</v>
      </c>
      <c r="K26" s="351">
        <f t="shared" si="14"/>
        <v>3414</v>
      </c>
      <c r="L26" s="354"/>
      <c r="M26" s="352">
        <f t="shared" si="15"/>
        <v>3414</v>
      </c>
      <c r="N26" s="232"/>
    </row>
    <row r="27" spans="1:14" ht="24">
      <c r="A27" s="344">
        <f t="shared" si="11"/>
        <v>3.0499999999999989</v>
      </c>
      <c r="B27" s="72" t="s">
        <v>267</v>
      </c>
      <c r="C27" s="345" t="s">
        <v>36</v>
      </c>
      <c r="D27" s="26">
        <v>0.34</v>
      </c>
      <c r="E27" s="26">
        <v>9108.7000000000007</v>
      </c>
      <c r="F27" s="347">
        <f t="shared" si="1"/>
        <v>3096.9580000000005</v>
      </c>
      <c r="G27" s="338">
        <v>0.34</v>
      </c>
      <c r="H27" s="353"/>
      <c r="I27" s="349">
        <f t="shared" si="12"/>
        <v>0.34</v>
      </c>
      <c r="J27" s="350">
        <f t="shared" si="13"/>
        <v>1</v>
      </c>
      <c r="K27" s="351">
        <f t="shared" si="14"/>
        <v>3096.9580000000005</v>
      </c>
      <c r="L27" s="354"/>
      <c r="M27" s="352">
        <f t="shared" si="15"/>
        <v>3096.9580000000005</v>
      </c>
      <c r="N27" s="232"/>
    </row>
    <row r="28" spans="1:14">
      <c r="A28" s="344">
        <f t="shared" si="11"/>
        <v>3.0599999999999987</v>
      </c>
      <c r="B28" s="76" t="s">
        <v>108</v>
      </c>
      <c r="C28" s="345" t="s">
        <v>58</v>
      </c>
      <c r="D28" s="26">
        <v>176.92</v>
      </c>
      <c r="E28" s="26">
        <v>90</v>
      </c>
      <c r="F28" s="347">
        <f t="shared" si="1"/>
        <v>15922.8</v>
      </c>
      <c r="G28" s="363">
        <v>176.92</v>
      </c>
      <c r="H28" s="362"/>
      <c r="I28" s="349">
        <f t="shared" si="12"/>
        <v>176.92</v>
      </c>
      <c r="J28" s="350">
        <f t="shared" si="13"/>
        <v>1</v>
      </c>
      <c r="K28" s="351">
        <f t="shared" si="14"/>
        <v>15922.8</v>
      </c>
      <c r="L28" s="354"/>
      <c r="M28" s="352">
        <f t="shared" si="15"/>
        <v>15922.8</v>
      </c>
      <c r="N28" s="232"/>
    </row>
    <row r="29" spans="1:14">
      <c r="A29" s="344">
        <f t="shared" si="11"/>
        <v>3.0699999999999985</v>
      </c>
      <c r="B29" s="76" t="s">
        <v>268</v>
      </c>
      <c r="C29" s="345" t="s">
        <v>58</v>
      </c>
      <c r="D29" s="26">
        <v>176.92</v>
      </c>
      <c r="E29" s="26">
        <v>650</v>
      </c>
      <c r="F29" s="347">
        <f t="shared" si="1"/>
        <v>114997.99999999999</v>
      </c>
      <c r="G29" s="365">
        <v>176.92</v>
      </c>
      <c r="H29" s="362"/>
      <c r="I29" s="349">
        <f t="shared" si="12"/>
        <v>176.92</v>
      </c>
      <c r="J29" s="350">
        <f t="shared" si="13"/>
        <v>1</v>
      </c>
      <c r="K29" s="351">
        <f t="shared" si="14"/>
        <v>114997.99999999999</v>
      </c>
      <c r="L29" s="354"/>
      <c r="M29" s="352">
        <f t="shared" si="15"/>
        <v>114997.99999999999</v>
      </c>
      <c r="N29" s="232"/>
    </row>
    <row r="30" spans="1:14">
      <c r="A30" s="344">
        <f t="shared" si="11"/>
        <v>3.0799999999999983</v>
      </c>
      <c r="B30" s="76" t="s">
        <v>269</v>
      </c>
      <c r="C30" s="345" t="s">
        <v>58</v>
      </c>
      <c r="D30" s="26">
        <v>28.45</v>
      </c>
      <c r="E30" s="26">
        <v>750</v>
      </c>
      <c r="F30" s="347">
        <f t="shared" si="1"/>
        <v>21337.5</v>
      </c>
      <c r="G30" s="366">
        <v>28.45</v>
      </c>
      <c r="H30" s="362"/>
      <c r="I30" s="349">
        <f t="shared" si="12"/>
        <v>28.45</v>
      </c>
      <c r="J30" s="350">
        <f t="shared" si="13"/>
        <v>1</v>
      </c>
      <c r="K30" s="351">
        <f t="shared" si="14"/>
        <v>21337.5</v>
      </c>
      <c r="L30" s="354"/>
      <c r="M30" s="352">
        <f t="shared" si="15"/>
        <v>21337.5</v>
      </c>
      <c r="N30" s="232"/>
    </row>
    <row r="31" spans="1:14">
      <c r="A31" s="344">
        <f t="shared" si="11"/>
        <v>3.0899999999999981</v>
      </c>
      <c r="B31" s="76" t="s">
        <v>270</v>
      </c>
      <c r="C31" s="345" t="s">
        <v>58</v>
      </c>
      <c r="D31" s="26">
        <v>176.92</v>
      </c>
      <c r="E31" s="26">
        <v>296.88</v>
      </c>
      <c r="F31" s="347">
        <f t="shared" si="1"/>
        <v>52524.009599999998</v>
      </c>
      <c r="G31" s="338">
        <v>176.92</v>
      </c>
      <c r="H31" s="353"/>
      <c r="I31" s="349">
        <f t="shared" si="12"/>
        <v>176.92</v>
      </c>
      <c r="J31" s="350">
        <f t="shared" si="13"/>
        <v>1</v>
      </c>
      <c r="K31" s="351">
        <f t="shared" si="14"/>
        <v>52524.009599999998</v>
      </c>
      <c r="L31" s="354"/>
      <c r="M31" s="352">
        <f t="shared" si="15"/>
        <v>52524.009599999998</v>
      </c>
      <c r="N31" s="232"/>
    </row>
    <row r="32" spans="1:14" ht="24">
      <c r="A32" s="344">
        <f t="shared" si="11"/>
        <v>3.0999999999999979</v>
      </c>
      <c r="B32" s="72" t="s">
        <v>271</v>
      </c>
      <c r="C32" s="345" t="s">
        <v>272</v>
      </c>
      <c r="D32" s="26">
        <v>166.7</v>
      </c>
      <c r="E32" s="26">
        <v>600</v>
      </c>
      <c r="F32" s="347">
        <f t="shared" si="1"/>
        <v>100020</v>
      </c>
      <c r="G32" s="367">
        <v>166.7</v>
      </c>
      <c r="H32" s="362"/>
      <c r="I32" s="349">
        <f t="shared" si="12"/>
        <v>166.7</v>
      </c>
      <c r="J32" s="350">
        <f t="shared" si="13"/>
        <v>1</v>
      </c>
      <c r="K32" s="351">
        <f t="shared" si="14"/>
        <v>100020</v>
      </c>
      <c r="L32" s="354"/>
      <c r="M32" s="352">
        <f t="shared" si="15"/>
        <v>100020</v>
      </c>
      <c r="N32" s="232"/>
    </row>
    <row r="33" spans="1:14">
      <c r="A33" s="344">
        <f t="shared" si="11"/>
        <v>3.1099999999999977</v>
      </c>
      <c r="B33" s="76" t="s">
        <v>273</v>
      </c>
      <c r="C33" s="345" t="s">
        <v>32</v>
      </c>
      <c r="D33" s="26">
        <v>1</v>
      </c>
      <c r="E33" s="26">
        <v>8500</v>
      </c>
      <c r="F33" s="347">
        <f t="shared" si="1"/>
        <v>8500</v>
      </c>
      <c r="G33" s="338">
        <v>1</v>
      </c>
      <c r="H33" s="353"/>
      <c r="I33" s="349">
        <f t="shared" si="12"/>
        <v>1</v>
      </c>
      <c r="J33" s="350">
        <f t="shared" si="13"/>
        <v>1</v>
      </c>
      <c r="K33" s="351">
        <f t="shared" si="14"/>
        <v>8500</v>
      </c>
      <c r="L33" s="354"/>
      <c r="M33" s="352">
        <f t="shared" si="15"/>
        <v>8500</v>
      </c>
      <c r="N33" s="232"/>
    </row>
    <row r="34" spans="1:14" ht="24">
      <c r="A34" s="344">
        <f t="shared" si="11"/>
        <v>3.1199999999999974</v>
      </c>
      <c r="B34" s="72" t="s">
        <v>274</v>
      </c>
      <c r="C34" s="345" t="s">
        <v>45</v>
      </c>
      <c r="D34" s="26">
        <v>2</v>
      </c>
      <c r="E34" s="26">
        <v>38350</v>
      </c>
      <c r="F34" s="347">
        <f t="shared" si="1"/>
        <v>76700</v>
      </c>
      <c r="G34" s="338">
        <v>2</v>
      </c>
      <c r="H34" s="338"/>
      <c r="I34" s="349">
        <f t="shared" si="12"/>
        <v>2</v>
      </c>
      <c r="J34" s="350">
        <f t="shared" si="13"/>
        <v>1</v>
      </c>
      <c r="K34" s="351">
        <f t="shared" si="14"/>
        <v>76700</v>
      </c>
      <c r="L34" s="354"/>
      <c r="M34" s="352">
        <f t="shared" si="15"/>
        <v>76700</v>
      </c>
      <c r="N34" s="232"/>
    </row>
    <row r="35" spans="1:14">
      <c r="A35" s="344">
        <f t="shared" si="11"/>
        <v>3.1299999999999972</v>
      </c>
      <c r="B35" s="76" t="s">
        <v>275</v>
      </c>
      <c r="C35" s="345" t="s">
        <v>45</v>
      </c>
      <c r="D35" s="26">
        <v>1</v>
      </c>
      <c r="E35" s="346">
        <v>90000</v>
      </c>
      <c r="F35" s="347">
        <f t="shared" si="1"/>
        <v>90000</v>
      </c>
      <c r="G35" s="338">
        <v>1</v>
      </c>
      <c r="H35" s="338"/>
      <c r="I35" s="349">
        <f t="shared" si="12"/>
        <v>1</v>
      </c>
      <c r="J35" s="350">
        <f t="shared" si="13"/>
        <v>1</v>
      </c>
      <c r="K35" s="351">
        <f t="shared" si="14"/>
        <v>90000</v>
      </c>
      <c r="L35" s="354"/>
      <c r="M35" s="352">
        <f t="shared" si="15"/>
        <v>90000</v>
      </c>
      <c r="N35" s="232"/>
    </row>
    <row r="36" spans="1:14">
      <c r="A36" s="344">
        <f t="shared" si="11"/>
        <v>3.139999999999997</v>
      </c>
      <c r="B36" s="76" t="s">
        <v>276</v>
      </c>
      <c r="C36" s="368" t="s">
        <v>45</v>
      </c>
      <c r="D36" s="369">
        <v>1</v>
      </c>
      <c r="E36" s="370">
        <v>9500</v>
      </c>
      <c r="F36" s="347">
        <f t="shared" si="1"/>
        <v>9500</v>
      </c>
      <c r="G36" s="371">
        <v>1</v>
      </c>
      <c r="H36" s="371"/>
      <c r="I36" s="349">
        <f t="shared" si="12"/>
        <v>1</v>
      </c>
      <c r="J36" s="350">
        <f t="shared" si="13"/>
        <v>1</v>
      </c>
      <c r="K36" s="351">
        <f t="shared" si="14"/>
        <v>9500</v>
      </c>
      <c r="L36" s="354"/>
      <c r="M36" s="359">
        <f t="shared" si="15"/>
        <v>9500</v>
      </c>
      <c r="N36" s="232"/>
    </row>
    <row r="37" spans="1:14">
      <c r="A37" s="344">
        <f t="shared" si="11"/>
        <v>3.1499999999999968</v>
      </c>
      <c r="B37" s="68" t="s">
        <v>257</v>
      </c>
      <c r="C37" s="25"/>
      <c r="D37" s="26"/>
      <c r="E37" s="346"/>
      <c r="F37" s="356">
        <f>SUM(F23:F36)</f>
        <v>531098.2675999999</v>
      </c>
      <c r="G37" s="353"/>
      <c r="H37" s="353"/>
      <c r="I37" s="353"/>
      <c r="J37" s="353"/>
      <c r="K37" s="357">
        <f>SUM(K23:K36)</f>
        <v>531098.2675999999</v>
      </c>
      <c r="L37" s="358"/>
      <c r="M37" s="359">
        <f t="shared" si="15"/>
        <v>531098.2675999999</v>
      </c>
      <c r="N37" s="232"/>
    </row>
    <row r="38" spans="1:14" ht="36">
      <c r="A38" s="336">
        <v>4</v>
      </c>
      <c r="B38" s="372" t="s">
        <v>277</v>
      </c>
      <c r="C38" s="355"/>
      <c r="D38" s="25"/>
      <c r="E38" s="355"/>
      <c r="F38" s="347"/>
      <c r="G38" s="353"/>
      <c r="H38" s="353"/>
      <c r="I38" s="353"/>
      <c r="J38" s="353"/>
      <c r="K38" s="341"/>
      <c r="L38" s="360"/>
      <c r="M38" s="352"/>
      <c r="N38" s="232"/>
    </row>
    <row r="39" spans="1:14" ht="24">
      <c r="A39" s="344">
        <f>A38+0.01</f>
        <v>4.01</v>
      </c>
      <c r="B39" s="72" t="s">
        <v>278</v>
      </c>
      <c r="C39" s="345" t="s">
        <v>30</v>
      </c>
      <c r="D39" s="345">
        <v>840</v>
      </c>
      <c r="E39" s="370">
        <v>628.13</v>
      </c>
      <c r="F39" s="347">
        <f t="shared" si="1"/>
        <v>527629.19999999995</v>
      </c>
      <c r="G39" s="363">
        <v>840</v>
      </c>
      <c r="H39" s="338"/>
      <c r="I39" s="349">
        <f t="shared" ref="I39:I41" si="16">G39+H39</f>
        <v>840</v>
      </c>
      <c r="J39" s="350">
        <f t="shared" ref="J39:J41" si="17">I39/D39</f>
        <v>1</v>
      </c>
      <c r="K39" s="351">
        <f>G39*E39</f>
        <v>527629.19999999995</v>
      </c>
      <c r="L39" s="351"/>
      <c r="M39" s="352">
        <f>K39+L39</f>
        <v>527629.19999999995</v>
      </c>
      <c r="N39" s="232"/>
    </row>
    <row r="40" spans="1:14" ht="24">
      <c r="A40" s="344">
        <f t="shared" ref="A40:A42" si="18">A39+0.01</f>
        <v>4.0199999999999996</v>
      </c>
      <c r="B40" s="72" t="s">
        <v>279</v>
      </c>
      <c r="C40" s="368" t="s">
        <v>45</v>
      </c>
      <c r="D40" s="369">
        <v>2</v>
      </c>
      <c r="E40" s="370">
        <v>35500</v>
      </c>
      <c r="F40" s="347">
        <f t="shared" si="1"/>
        <v>71000</v>
      </c>
      <c r="G40" s="338">
        <v>2</v>
      </c>
      <c r="H40" s="338"/>
      <c r="I40" s="349">
        <f t="shared" si="16"/>
        <v>2</v>
      </c>
      <c r="J40" s="350">
        <f t="shared" si="17"/>
        <v>1</v>
      </c>
      <c r="K40" s="351">
        <f t="shared" ref="K40:K41" si="19">G40*E40</f>
        <v>71000</v>
      </c>
      <c r="L40" s="351">
        <f t="shared" ref="L40:L41" si="20">H40*E40</f>
        <v>0</v>
      </c>
      <c r="M40" s="352">
        <f t="shared" ref="M40:M41" si="21">K40+L40</f>
        <v>71000</v>
      </c>
      <c r="N40" s="338"/>
    </row>
    <row r="41" spans="1:14" ht="24">
      <c r="A41" s="344">
        <f t="shared" si="18"/>
        <v>4.0299999999999994</v>
      </c>
      <c r="B41" s="72" t="s">
        <v>280</v>
      </c>
      <c r="C41" s="368" t="s">
        <v>45</v>
      </c>
      <c r="D41" s="369">
        <v>1</v>
      </c>
      <c r="E41" s="370">
        <v>25500</v>
      </c>
      <c r="F41" s="347">
        <f t="shared" si="1"/>
        <v>25500</v>
      </c>
      <c r="G41" s="338">
        <v>1</v>
      </c>
      <c r="H41" s="338"/>
      <c r="I41" s="349">
        <f t="shared" si="16"/>
        <v>1</v>
      </c>
      <c r="J41" s="350">
        <f t="shared" si="17"/>
        <v>1</v>
      </c>
      <c r="K41" s="351">
        <f t="shared" si="19"/>
        <v>25500</v>
      </c>
      <c r="L41" s="351">
        <f t="shared" si="20"/>
        <v>0</v>
      </c>
      <c r="M41" s="352">
        <f t="shared" si="21"/>
        <v>25500</v>
      </c>
      <c r="N41" s="232"/>
    </row>
    <row r="42" spans="1:14">
      <c r="A42" s="344">
        <f t="shared" si="18"/>
        <v>4.0399999999999991</v>
      </c>
      <c r="B42" s="68" t="s">
        <v>257</v>
      </c>
      <c r="C42" s="368"/>
      <c r="D42" s="369"/>
      <c r="E42" s="373"/>
      <c r="F42" s="356">
        <f>SUM(F39:F41)</f>
        <v>624129.19999999995</v>
      </c>
      <c r="G42" s="353"/>
      <c r="H42" s="353"/>
      <c r="I42" s="353"/>
      <c r="J42" s="353"/>
      <c r="K42" s="357">
        <f>SUM(K39:K41)</f>
        <v>624129.19999999995</v>
      </c>
      <c r="L42" s="358">
        <f>SUM(L40:L41)</f>
        <v>0</v>
      </c>
      <c r="M42" s="359">
        <f>SUM(M39:M41)</f>
        <v>624129.19999999995</v>
      </c>
      <c r="N42" s="232"/>
    </row>
    <row r="43" spans="1:14">
      <c r="A43" s="336">
        <v>5</v>
      </c>
      <c r="B43" s="68" t="s">
        <v>169</v>
      </c>
      <c r="C43" s="355"/>
      <c r="D43" s="355"/>
      <c r="E43" s="355"/>
      <c r="F43" s="347"/>
      <c r="G43" s="353"/>
      <c r="H43" s="353"/>
      <c r="I43" s="353"/>
      <c r="J43" s="353"/>
      <c r="K43" s="341"/>
      <c r="L43" s="360"/>
      <c r="M43" s="352"/>
      <c r="N43" s="232"/>
    </row>
    <row r="44" spans="1:14">
      <c r="A44" s="344">
        <f>A43+0.01</f>
        <v>5.01</v>
      </c>
      <c r="B44" s="76" t="s">
        <v>35</v>
      </c>
      <c r="C44" s="25" t="s">
        <v>36</v>
      </c>
      <c r="D44" s="26">
        <v>528</v>
      </c>
      <c r="E44" s="26">
        <v>214</v>
      </c>
      <c r="F44" s="347">
        <f t="shared" si="1"/>
        <v>112992</v>
      </c>
      <c r="G44" s="338">
        <v>528</v>
      </c>
      <c r="H44" s="353"/>
      <c r="I44" s="349">
        <f t="shared" ref="I44:I48" si="22">G44+H44</f>
        <v>528</v>
      </c>
      <c r="J44" s="350">
        <f t="shared" ref="J44:J48" si="23">I44/D44</f>
        <v>1</v>
      </c>
      <c r="K44" s="351">
        <f>G44*E44</f>
        <v>112992</v>
      </c>
      <c r="L44" s="354"/>
      <c r="M44" s="352">
        <f t="shared" ref="M44:M49" si="24">K44+L44</f>
        <v>112992</v>
      </c>
      <c r="N44" s="232"/>
    </row>
    <row r="45" spans="1:14">
      <c r="A45" s="344">
        <f t="shared" ref="A45:A49" si="25">A44+0.01</f>
        <v>5.0199999999999996</v>
      </c>
      <c r="B45" s="76" t="s">
        <v>37</v>
      </c>
      <c r="C45" s="25" t="s">
        <v>36</v>
      </c>
      <c r="D45" s="26">
        <v>48</v>
      </c>
      <c r="E45" s="26">
        <v>2715.82</v>
      </c>
      <c r="F45" s="347">
        <f t="shared" si="1"/>
        <v>130359.36000000002</v>
      </c>
      <c r="G45" s="363">
        <v>48</v>
      </c>
      <c r="H45" s="338"/>
      <c r="I45" s="349">
        <f t="shared" si="22"/>
        <v>48</v>
      </c>
      <c r="J45" s="350">
        <f t="shared" si="23"/>
        <v>1</v>
      </c>
      <c r="K45" s="351">
        <f t="shared" ref="K45:K48" si="26">G45*E45</f>
        <v>130359.36000000002</v>
      </c>
      <c r="L45" s="351"/>
      <c r="M45" s="352">
        <f t="shared" si="24"/>
        <v>130359.36000000002</v>
      </c>
      <c r="N45" s="232"/>
    </row>
    <row r="46" spans="1:14" ht="24">
      <c r="A46" s="344">
        <f t="shared" si="25"/>
        <v>5.0299999999999994</v>
      </c>
      <c r="B46" s="72" t="s">
        <v>281</v>
      </c>
      <c r="C46" s="25" t="s">
        <v>36</v>
      </c>
      <c r="D46" s="26">
        <v>182.4</v>
      </c>
      <c r="E46" s="26">
        <v>545</v>
      </c>
      <c r="F46" s="347">
        <f t="shared" si="1"/>
        <v>99408</v>
      </c>
      <c r="G46" s="338">
        <v>182.4</v>
      </c>
      <c r="H46" s="353"/>
      <c r="I46" s="349">
        <f t="shared" si="22"/>
        <v>182.4</v>
      </c>
      <c r="J46" s="350">
        <f t="shared" si="23"/>
        <v>1</v>
      </c>
      <c r="K46" s="351">
        <f t="shared" si="26"/>
        <v>99408</v>
      </c>
      <c r="L46" s="351"/>
      <c r="M46" s="352">
        <f t="shared" si="24"/>
        <v>99408</v>
      </c>
      <c r="N46" s="232"/>
    </row>
    <row r="47" spans="1:14">
      <c r="A47" s="344">
        <f t="shared" si="25"/>
        <v>5.0399999999999991</v>
      </c>
      <c r="B47" s="76" t="s">
        <v>39</v>
      </c>
      <c r="C47" s="25" t="s">
        <v>36</v>
      </c>
      <c r="D47" s="26">
        <v>269.57</v>
      </c>
      <c r="E47" s="26">
        <v>380</v>
      </c>
      <c r="F47" s="347">
        <f t="shared" si="1"/>
        <v>102436.59999999999</v>
      </c>
      <c r="G47" s="374">
        <v>269.57</v>
      </c>
      <c r="H47" s="338"/>
      <c r="I47" s="349">
        <f t="shared" si="22"/>
        <v>269.57</v>
      </c>
      <c r="J47" s="350">
        <f t="shared" si="23"/>
        <v>1</v>
      </c>
      <c r="K47" s="351">
        <f t="shared" si="26"/>
        <v>102436.59999999999</v>
      </c>
      <c r="L47" s="351"/>
      <c r="M47" s="352">
        <f t="shared" si="24"/>
        <v>102436.59999999999</v>
      </c>
      <c r="N47" s="232"/>
    </row>
    <row r="48" spans="1:14" ht="24">
      <c r="A48" s="344">
        <f t="shared" si="25"/>
        <v>5.0499999999999989</v>
      </c>
      <c r="B48" s="72" t="s">
        <v>282</v>
      </c>
      <c r="C48" s="25" t="s">
        <v>36</v>
      </c>
      <c r="D48" s="26">
        <v>288</v>
      </c>
      <c r="E48" s="26">
        <v>750</v>
      </c>
      <c r="F48" s="347">
        <f t="shared" si="1"/>
        <v>216000</v>
      </c>
      <c r="G48" s="338">
        <v>288</v>
      </c>
      <c r="H48" s="353"/>
      <c r="I48" s="349">
        <f t="shared" si="22"/>
        <v>288</v>
      </c>
      <c r="J48" s="350">
        <f t="shared" si="23"/>
        <v>1</v>
      </c>
      <c r="K48" s="351">
        <f t="shared" si="26"/>
        <v>216000</v>
      </c>
      <c r="L48" s="351"/>
      <c r="M48" s="352">
        <f t="shared" si="24"/>
        <v>216000</v>
      </c>
      <c r="N48" s="232"/>
    </row>
    <row r="49" spans="1:14">
      <c r="A49" s="344">
        <f t="shared" si="25"/>
        <v>5.0599999999999987</v>
      </c>
      <c r="B49" s="68" t="s">
        <v>257</v>
      </c>
      <c r="C49" s="25"/>
      <c r="D49" s="26"/>
      <c r="E49" s="355"/>
      <c r="F49" s="356">
        <f>SUM(F44:F48)</f>
        <v>661195.96</v>
      </c>
      <c r="G49" s="353"/>
      <c r="H49" s="353"/>
      <c r="I49" s="353"/>
      <c r="J49" s="353"/>
      <c r="K49" s="357">
        <f>SUM(K44:K48)</f>
        <v>661195.96</v>
      </c>
      <c r="L49" s="358"/>
      <c r="M49" s="359">
        <f t="shared" si="24"/>
        <v>661195.96</v>
      </c>
      <c r="N49" s="232"/>
    </row>
    <row r="50" spans="1:14">
      <c r="A50" s="336">
        <v>6</v>
      </c>
      <c r="B50" s="68" t="s">
        <v>283</v>
      </c>
      <c r="C50" s="25"/>
      <c r="D50" s="26"/>
      <c r="E50" s="355"/>
      <c r="F50" s="347"/>
      <c r="G50" s="353"/>
      <c r="H50" s="353"/>
      <c r="I50" s="353"/>
      <c r="J50" s="353"/>
      <c r="K50" s="341"/>
      <c r="L50" s="360"/>
      <c r="M50" s="352"/>
      <c r="N50" s="232"/>
    </row>
    <row r="51" spans="1:14">
      <c r="A51" s="344">
        <f>A50+0.01</f>
        <v>6.01</v>
      </c>
      <c r="B51" s="76" t="s">
        <v>284</v>
      </c>
      <c r="C51" s="25" t="s">
        <v>58</v>
      </c>
      <c r="D51" s="26">
        <v>1550</v>
      </c>
      <c r="E51" s="26">
        <v>750</v>
      </c>
      <c r="F51" s="347">
        <f t="shared" si="1"/>
        <v>1162500</v>
      </c>
      <c r="G51" s="338">
        <v>1450</v>
      </c>
      <c r="H51" s="338"/>
      <c r="I51" s="349">
        <f t="shared" ref="I51:I52" si="27">G51+H51</f>
        <v>1450</v>
      </c>
      <c r="J51" s="350">
        <f t="shared" ref="J51:J52" si="28">I51/D51</f>
        <v>0.93548387096774188</v>
      </c>
      <c r="K51" s="351">
        <f>G51*E51</f>
        <v>1087500</v>
      </c>
      <c r="L51" s="351"/>
      <c r="M51" s="352">
        <f t="shared" ref="M51:M52" si="29">K51+L51</f>
        <v>1087500</v>
      </c>
      <c r="N51" s="232"/>
    </row>
    <row r="52" spans="1:14">
      <c r="A52" s="344">
        <f t="shared" ref="A52:A53" si="30">A51+0.01</f>
        <v>6.02</v>
      </c>
      <c r="B52" s="76" t="s">
        <v>285</v>
      </c>
      <c r="C52" s="25" t="s">
        <v>58</v>
      </c>
      <c r="D52" s="26">
        <v>1550</v>
      </c>
      <c r="E52" s="26">
        <v>110</v>
      </c>
      <c r="F52" s="347">
        <f t="shared" si="1"/>
        <v>170500</v>
      </c>
      <c r="G52" s="338">
        <v>1450</v>
      </c>
      <c r="H52" s="338"/>
      <c r="I52" s="349">
        <f t="shared" si="27"/>
        <v>1450</v>
      </c>
      <c r="J52" s="350">
        <f t="shared" si="28"/>
        <v>0.93548387096774188</v>
      </c>
      <c r="K52" s="351">
        <f>G52*E52</f>
        <v>159500</v>
      </c>
      <c r="L52" s="351"/>
      <c r="M52" s="352">
        <f t="shared" si="29"/>
        <v>159500</v>
      </c>
      <c r="N52" s="232"/>
    </row>
    <row r="53" spans="1:14">
      <c r="A53" s="344">
        <f t="shared" si="30"/>
        <v>6.0299999999999994</v>
      </c>
      <c r="B53" s="68" t="s">
        <v>286</v>
      </c>
      <c r="C53" s="25"/>
      <c r="D53" s="26"/>
      <c r="E53" s="355"/>
      <c r="F53" s="356">
        <f>SUM(F51:F52)</f>
        <v>1333000</v>
      </c>
      <c r="G53" s="338"/>
      <c r="H53" s="338"/>
      <c r="I53" s="353"/>
      <c r="J53" s="353"/>
      <c r="K53" s="357">
        <f>SUM(K51:K52)</f>
        <v>1247000</v>
      </c>
      <c r="L53" s="358"/>
      <c r="M53" s="359">
        <f>SUM(M51:M52)</f>
        <v>1247000</v>
      </c>
      <c r="N53" s="232"/>
    </row>
    <row r="54" spans="1:14">
      <c r="A54" s="336">
        <v>7</v>
      </c>
      <c r="B54" s="68" t="s">
        <v>287</v>
      </c>
      <c r="C54" s="355"/>
      <c r="D54" s="355"/>
      <c r="E54" s="355"/>
      <c r="F54" s="347"/>
      <c r="G54" s="353"/>
      <c r="H54" s="353"/>
      <c r="I54" s="353"/>
      <c r="J54" s="353"/>
      <c r="K54" s="341"/>
      <c r="L54" s="360"/>
      <c r="M54" s="352"/>
      <c r="N54" s="232"/>
    </row>
    <row r="55" spans="1:14">
      <c r="A55" s="344">
        <f>A54+0.01</f>
        <v>7.01</v>
      </c>
      <c r="B55" s="76" t="s">
        <v>288</v>
      </c>
      <c r="C55" s="25" t="s">
        <v>45</v>
      </c>
      <c r="D55" s="26">
        <v>311</v>
      </c>
      <c r="E55" s="346">
        <v>5250</v>
      </c>
      <c r="F55" s="347">
        <f t="shared" si="1"/>
        <v>1632750</v>
      </c>
      <c r="G55" s="363">
        <v>236.996667</v>
      </c>
      <c r="H55" s="338">
        <v>50</v>
      </c>
      <c r="I55" s="349">
        <f t="shared" ref="I55" si="31">G55+H55</f>
        <v>286.996667</v>
      </c>
      <c r="J55" s="350">
        <f t="shared" ref="J55" si="32">I55/D55</f>
        <v>0.92281886495176846</v>
      </c>
      <c r="K55" s="351">
        <f>G55*E55</f>
        <v>1244232.5017500001</v>
      </c>
      <c r="L55" s="351">
        <f t="shared" ref="L55" si="33">H55*E55</f>
        <v>262500</v>
      </c>
      <c r="M55" s="352">
        <f t="shared" ref="M55:M56" si="34">K55+L55</f>
        <v>1506732.5017500001</v>
      </c>
      <c r="N55" s="232"/>
    </row>
    <row r="56" spans="1:14">
      <c r="A56" s="344">
        <f>A55+0.01</f>
        <v>7.02</v>
      </c>
      <c r="B56" s="68" t="s">
        <v>257</v>
      </c>
      <c r="C56" s="355"/>
      <c r="D56" s="355"/>
      <c r="E56" s="355"/>
      <c r="F56" s="356">
        <f>SUM(F55)</f>
        <v>1632750</v>
      </c>
      <c r="G56" s="353"/>
      <c r="H56" s="353"/>
      <c r="I56" s="353"/>
      <c r="J56" s="353"/>
      <c r="K56" s="357">
        <f>SUM(K55)</f>
        <v>1244232.5017500001</v>
      </c>
      <c r="L56" s="358">
        <f>SUM(L55)</f>
        <v>262500</v>
      </c>
      <c r="M56" s="359">
        <f t="shared" si="34"/>
        <v>1506732.5017500001</v>
      </c>
      <c r="N56" s="232"/>
    </row>
    <row r="57" spans="1:14" ht="24">
      <c r="A57" s="336">
        <v>8</v>
      </c>
      <c r="B57" s="372" t="s">
        <v>289</v>
      </c>
      <c r="C57" s="375"/>
      <c r="D57" s="45"/>
      <c r="E57" s="375"/>
      <c r="F57" s="347"/>
      <c r="G57" s="353"/>
      <c r="H57" s="353"/>
      <c r="I57" s="353"/>
      <c r="J57" s="353"/>
      <c r="K57" s="341"/>
      <c r="L57" s="360"/>
      <c r="M57" s="352"/>
      <c r="N57" s="232"/>
    </row>
    <row r="58" spans="1:14">
      <c r="A58" s="344">
        <f>A57+0.01</f>
        <v>8.01</v>
      </c>
      <c r="B58" s="76" t="s">
        <v>290</v>
      </c>
      <c r="C58" s="361" t="s">
        <v>32</v>
      </c>
      <c r="D58" s="26">
        <v>1</v>
      </c>
      <c r="E58" s="26">
        <v>8500</v>
      </c>
      <c r="F58" s="347">
        <f t="shared" si="1"/>
        <v>8500</v>
      </c>
      <c r="G58" s="338">
        <v>1</v>
      </c>
      <c r="H58" s="353"/>
      <c r="I58" s="349">
        <f t="shared" ref="I58:I65" si="35">G58+H58</f>
        <v>1</v>
      </c>
      <c r="J58" s="350">
        <f t="shared" ref="J58:J65" si="36">I58/D58</f>
        <v>1</v>
      </c>
      <c r="K58" s="351">
        <f>G58*E58</f>
        <v>8500</v>
      </c>
      <c r="L58" s="354"/>
      <c r="M58" s="352">
        <f t="shared" ref="M58:M65" si="37">K58+L58</f>
        <v>8500</v>
      </c>
      <c r="N58" s="232"/>
    </row>
    <row r="59" spans="1:14" ht="24">
      <c r="A59" s="344">
        <f t="shared" ref="A59:A66" si="38">A58+0.01</f>
        <v>8.02</v>
      </c>
      <c r="B59" s="72" t="s">
        <v>291</v>
      </c>
      <c r="C59" s="345" t="s">
        <v>58</v>
      </c>
      <c r="D59" s="26">
        <v>30</v>
      </c>
      <c r="E59" s="26">
        <v>10600</v>
      </c>
      <c r="F59" s="347">
        <f t="shared" si="1"/>
        <v>318000</v>
      </c>
      <c r="G59" s="363">
        <v>30</v>
      </c>
      <c r="H59" s="374"/>
      <c r="I59" s="349">
        <f t="shared" si="35"/>
        <v>30</v>
      </c>
      <c r="J59" s="350">
        <f t="shared" si="36"/>
        <v>1</v>
      </c>
      <c r="K59" s="351">
        <f t="shared" ref="K59:K65" si="39">G59*E59</f>
        <v>318000</v>
      </c>
      <c r="L59" s="351"/>
      <c r="M59" s="352">
        <f t="shared" si="37"/>
        <v>318000</v>
      </c>
      <c r="N59" s="232"/>
    </row>
    <row r="60" spans="1:14">
      <c r="A60" s="344">
        <f t="shared" si="38"/>
        <v>8.0299999999999994</v>
      </c>
      <c r="B60" s="76" t="s">
        <v>292</v>
      </c>
      <c r="C60" s="345" t="s">
        <v>58</v>
      </c>
      <c r="D60" s="26">
        <v>470</v>
      </c>
      <c r="E60" s="26">
        <v>552</v>
      </c>
      <c r="F60" s="347">
        <f t="shared" si="1"/>
        <v>259440</v>
      </c>
      <c r="G60" s="338">
        <v>470</v>
      </c>
      <c r="H60" s="353"/>
      <c r="I60" s="349">
        <f t="shared" si="35"/>
        <v>470</v>
      </c>
      <c r="J60" s="350">
        <f t="shared" si="36"/>
        <v>1</v>
      </c>
      <c r="K60" s="351">
        <f t="shared" si="39"/>
        <v>259440</v>
      </c>
      <c r="L60" s="354"/>
      <c r="M60" s="352">
        <f t="shared" si="37"/>
        <v>259440</v>
      </c>
      <c r="N60" s="232"/>
    </row>
    <row r="61" spans="1:14">
      <c r="A61" s="344">
        <f t="shared" si="38"/>
        <v>8.0399999999999991</v>
      </c>
      <c r="B61" s="376" t="s">
        <v>293</v>
      </c>
      <c r="C61" s="345" t="s">
        <v>58</v>
      </c>
      <c r="D61" s="26">
        <v>235</v>
      </c>
      <c r="E61" s="26">
        <v>301.77999999999997</v>
      </c>
      <c r="F61" s="347">
        <f t="shared" si="1"/>
        <v>70918.299999999988</v>
      </c>
      <c r="G61" s="338">
        <v>235</v>
      </c>
      <c r="H61" s="353"/>
      <c r="I61" s="349">
        <f t="shared" si="35"/>
        <v>235</v>
      </c>
      <c r="J61" s="350">
        <f t="shared" si="36"/>
        <v>1</v>
      </c>
      <c r="K61" s="351">
        <f t="shared" si="39"/>
        <v>70918.299999999988</v>
      </c>
      <c r="L61" s="354"/>
      <c r="M61" s="352">
        <f t="shared" si="37"/>
        <v>70918.299999999988</v>
      </c>
      <c r="N61" s="232"/>
    </row>
    <row r="62" spans="1:14">
      <c r="A62" s="344">
        <f t="shared" si="38"/>
        <v>8.0499999999999989</v>
      </c>
      <c r="B62" s="76" t="s">
        <v>294</v>
      </c>
      <c r="C62" s="345" t="s">
        <v>45</v>
      </c>
      <c r="D62" s="26">
        <v>4</v>
      </c>
      <c r="E62" s="26">
        <v>155000</v>
      </c>
      <c r="F62" s="347">
        <f t="shared" si="1"/>
        <v>620000</v>
      </c>
      <c r="G62" s="338">
        <v>4</v>
      </c>
      <c r="H62" s="338"/>
      <c r="I62" s="349">
        <f t="shared" si="35"/>
        <v>4</v>
      </c>
      <c r="J62" s="350">
        <f t="shared" si="36"/>
        <v>1</v>
      </c>
      <c r="K62" s="351">
        <f t="shared" si="39"/>
        <v>620000</v>
      </c>
      <c r="L62" s="351"/>
      <c r="M62" s="352">
        <f t="shared" si="37"/>
        <v>620000</v>
      </c>
      <c r="N62" s="232"/>
    </row>
    <row r="63" spans="1:14">
      <c r="A63" s="344">
        <f t="shared" si="38"/>
        <v>8.0599999999999987</v>
      </c>
      <c r="B63" s="76" t="s">
        <v>295</v>
      </c>
      <c r="C63" s="345" t="s">
        <v>45</v>
      </c>
      <c r="D63" s="80">
        <v>1</v>
      </c>
      <c r="E63" s="26">
        <v>4800</v>
      </c>
      <c r="F63" s="347">
        <f t="shared" si="1"/>
        <v>4800</v>
      </c>
      <c r="G63" s="377">
        <v>1</v>
      </c>
      <c r="H63" s="353"/>
      <c r="I63" s="349">
        <f t="shared" si="35"/>
        <v>1</v>
      </c>
      <c r="J63" s="350">
        <f t="shared" si="36"/>
        <v>1</v>
      </c>
      <c r="K63" s="351">
        <f t="shared" si="39"/>
        <v>4800</v>
      </c>
      <c r="L63" s="354"/>
      <c r="M63" s="352">
        <f t="shared" si="37"/>
        <v>4800</v>
      </c>
      <c r="N63" s="232"/>
    </row>
    <row r="64" spans="1:14">
      <c r="A64" s="344">
        <f t="shared" si="38"/>
        <v>8.0699999999999985</v>
      </c>
      <c r="B64" s="76" t="s">
        <v>296</v>
      </c>
      <c r="C64" s="368" t="s">
        <v>45</v>
      </c>
      <c r="D64" s="80">
        <v>1</v>
      </c>
      <c r="E64" s="80">
        <v>35500</v>
      </c>
      <c r="F64" s="347">
        <f t="shared" si="1"/>
        <v>35500</v>
      </c>
      <c r="G64" s="377">
        <v>1</v>
      </c>
      <c r="H64" s="353"/>
      <c r="I64" s="349">
        <f t="shared" si="35"/>
        <v>1</v>
      </c>
      <c r="J64" s="350">
        <f t="shared" si="36"/>
        <v>1</v>
      </c>
      <c r="K64" s="351">
        <f t="shared" si="39"/>
        <v>35500</v>
      </c>
      <c r="L64" s="354"/>
      <c r="M64" s="352">
        <f t="shared" si="37"/>
        <v>35500</v>
      </c>
      <c r="N64" s="232"/>
    </row>
    <row r="65" spans="1:14">
      <c r="A65" s="344">
        <f t="shared" si="38"/>
        <v>8.0799999999999983</v>
      </c>
      <c r="B65" s="76" t="s">
        <v>297</v>
      </c>
      <c r="C65" s="368" t="s">
        <v>45</v>
      </c>
      <c r="D65" s="80">
        <v>1</v>
      </c>
      <c r="E65" s="80">
        <v>37500</v>
      </c>
      <c r="F65" s="347">
        <f t="shared" si="1"/>
        <v>37500</v>
      </c>
      <c r="G65" s="377">
        <v>1</v>
      </c>
      <c r="H65" s="353"/>
      <c r="I65" s="349">
        <f t="shared" si="35"/>
        <v>1</v>
      </c>
      <c r="J65" s="350">
        <f t="shared" si="36"/>
        <v>1</v>
      </c>
      <c r="K65" s="351">
        <f t="shared" si="39"/>
        <v>37500</v>
      </c>
      <c r="L65" s="354"/>
      <c r="M65" s="352">
        <f t="shared" si="37"/>
        <v>37500</v>
      </c>
      <c r="N65" s="232"/>
    </row>
    <row r="66" spans="1:14">
      <c r="A66" s="344">
        <f t="shared" si="38"/>
        <v>8.0899999999999981</v>
      </c>
      <c r="B66" s="68" t="s">
        <v>257</v>
      </c>
      <c r="C66" s="355"/>
      <c r="D66" s="355"/>
      <c r="E66" s="355"/>
      <c r="F66" s="356">
        <f>SUM(F58:F65)</f>
        <v>1354658.3</v>
      </c>
      <c r="G66" s="353"/>
      <c r="H66" s="353"/>
      <c r="I66" s="353"/>
      <c r="J66" s="353"/>
      <c r="K66" s="357">
        <f>SUM(K58:K65)</f>
        <v>1354658.3</v>
      </c>
      <c r="L66" s="358"/>
      <c r="M66" s="359">
        <f>K66+L66</f>
        <v>1354658.3</v>
      </c>
      <c r="N66" s="232"/>
    </row>
    <row r="67" spans="1:14" ht="24">
      <c r="A67" s="336">
        <v>9</v>
      </c>
      <c r="B67" s="372" t="s">
        <v>298</v>
      </c>
      <c r="C67" s="355"/>
      <c r="D67" s="355"/>
      <c r="E67" s="355"/>
      <c r="F67" s="347"/>
      <c r="G67" s="353"/>
      <c r="H67" s="353"/>
      <c r="I67" s="353"/>
      <c r="J67" s="353"/>
      <c r="K67" s="341"/>
      <c r="L67" s="360"/>
      <c r="M67" s="352"/>
      <c r="N67" s="232"/>
    </row>
    <row r="68" spans="1:14">
      <c r="A68" s="344">
        <f>A67+0.01</f>
        <v>9.01</v>
      </c>
      <c r="B68" s="76" t="s">
        <v>299</v>
      </c>
      <c r="C68" s="368" t="s">
        <v>45</v>
      </c>
      <c r="D68" s="370">
        <v>1</v>
      </c>
      <c r="E68" s="370">
        <v>3404000</v>
      </c>
      <c r="F68" s="347">
        <f t="shared" ref="F68:F131" si="40">D68*E68</f>
        <v>3404000</v>
      </c>
      <c r="G68" s="363">
        <v>1</v>
      </c>
      <c r="H68" s="374"/>
      <c r="I68" s="349">
        <f t="shared" ref="I68:I70" si="41">G68+H68</f>
        <v>1</v>
      </c>
      <c r="J68" s="350">
        <f t="shared" ref="J68:J70" si="42">I68/D68</f>
        <v>1</v>
      </c>
      <c r="K68" s="351">
        <f>G68*E68</f>
        <v>3404000</v>
      </c>
      <c r="L68" s="351"/>
      <c r="M68" s="352">
        <f t="shared" ref="M68:M71" si="43">K68+L68</f>
        <v>3404000</v>
      </c>
      <c r="N68" s="232"/>
    </row>
    <row r="69" spans="1:14" ht="24">
      <c r="A69" s="344">
        <f t="shared" ref="A69:A71" si="44">A68+0.01</f>
        <v>9.02</v>
      </c>
      <c r="B69" s="72" t="s">
        <v>300</v>
      </c>
      <c r="C69" s="368" t="s">
        <v>260</v>
      </c>
      <c r="D69" s="369">
        <v>12</v>
      </c>
      <c r="E69" s="369">
        <v>2200</v>
      </c>
      <c r="F69" s="347">
        <f t="shared" si="40"/>
        <v>26400</v>
      </c>
      <c r="G69" s="338">
        <v>12</v>
      </c>
      <c r="H69" s="353"/>
      <c r="I69" s="349">
        <f t="shared" si="41"/>
        <v>12</v>
      </c>
      <c r="J69" s="350">
        <f t="shared" si="42"/>
        <v>1</v>
      </c>
      <c r="K69" s="351">
        <f>G69*E69</f>
        <v>26400</v>
      </c>
      <c r="L69" s="354"/>
      <c r="M69" s="352">
        <f t="shared" si="43"/>
        <v>26400</v>
      </c>
      <c r="N69" s="232"/>
    </row>
    <row r="70" spans="1:14" ht="24">
      <c r="A70" s="344">
        <f t="shared" si="44"/>
        <v>9.0299999999999994</v>
      </c>
      <c r="B70" s="72" t="s">
        <v>301</v>
      </c>
      <c r="C70" s="368" t="s">
        <v>45</v>
      </c>
      <c r="D70" s="378">
        <v>1</v>
      </c>
      <c r="E70" s="373">
        <v>9500</v>
      </c>
      <c r="F70" s="379">
        <f t="shared" si="40"/>
        <v>9500</v>
      </c>
      <c r="G70" s="338">
        <v>1</v>
      </c>
      <c r="H70" s="338"/>
      <c r="I70" s="349">
        <f t="shared" si="41"/>
        <v>1</v>
      </c>
      <c r="J70" s="350">
        <f t="shared" si="42"/>
        <v>1</v>
      </c>
      <c r="K70" s="351">
        <f>G70*E70</f>
        <v>9500</v>
      </c>
      <c r="L70" s="351"/>
      <c r="M70" s="352">
        <f t="shared" si="43"/>
        <v>9500</v>
      </c>
      <c r="N70" s="232"/>
    </row>
    <row r="71" spans="1:14">
      <c r="A71" s="344">
        <f t="shared" si="44"/>
        <v>9.0399999999999991</v>
      </c>
      <c r="B71" s="68" t="s">
        <v>257</v>
      </c>
      <c r="C71" s="368"/>
      <c r="D71" s="369"/>
      <c r="E71" s="369"/>
      <c r="F71" s="356">
        <f>SUM(F68:F70)</f>
        <v>3439900</v>
      </c>
      <c r="G71" s="353"/>
      <c r="H71" s="353"/>
      <c r="I71" s="353"/>
      <c r="J71" s="353"/>
      <c r="K71" s="357">
        <f>SUM(K68:K70)</f>
        <v>3439900</v>
      </c>
      <c r="L71" s="358"/>
      <c r="M71" s="359">
        <f t="shared" si="43"/>
        <v>3439900</v>
      </c>
      <c r="N71" s="232"/>
    </row>
    <row r="72" spans="1:14">
      <c r="A72" s="336">
        <v>10</v>
      </c>
      <c r="B72" s="68" t="s">
        <v>302</v>
      </c>
      <c r="C72" s="361"/>
      <c r="D72" s="355"/>
      <c r="E72" s="355"/>
      <c r="F72" s="347">
        <f t="shared" si="40"/>
        <v>0</v>
      </c>
      <c r="G72" s="353"/>
      <c r="H72" s="353"/>
      <c r="I72" s="353"/>
      <c r="J72" s="353"/>
      <c r="K72" s="341"/>
      <c r="L72" s="360"/>
      <c r="M72" s="352"/>
      <c r="N72" s="232"/>
    </row>
    <row r="73" spans="1:14">
      <c r="A73" s="344">
        <f>A72+0.01</f>
        <v>10.01</v>
      </c>
      <c r="B73" s="76" t="s">
        <v>303</v>
      </c>
      <c r="C73" s="345" t="s">
        <v>30</v>
      </c>
      <c r="D73" s="80">
        <v>1980</v>
      </c>
      <c r="E73" s="80">
        <v>85</v>
      </c>
      <c r="F73" s="347">
        <f t="shared" si="40"/>
        <v>168300</v>
      </c>
      <c r="G73" s="338">
        <v>1980</v>
      </c>
      <c r="H73" s="374"/>
      <c r="I73" s="349">
        <f t="shared" ref="I73:I75" si="45">G73+H73</f>
        <v>1980</v>
      </c>
      <c r="J73" s="350">
        <f t="shared" ref="J73:J75" si="46">I73/D73</f>
        <v>1</v>
      </c>
      <c r="K73" s="351">
        <f>G73*E73</f>
        <v>168300</v>
      </c>
      <c r="L73" s="351"/>
      <c r="M73" s="352">
        <f t="shared" ref="M73:M76" si="47">K73+L73</f>
        <v>168300</v>
      </c>
      <c r="N73" s="232"/>
    </row>
    <row r="74" spans="1:14" ht="24">
      <c r="A74" s="344">
        <f t="shared" ref="A74:A76" si="48">A73+0.01</f>
        <v>10.02</v>
      </c>
      <c r="B74" s="72" t="s">
        <v>304</v>
      </c>
      <c r="C74" s="368" t="s">
        <v>45</v>
      </c>
      <c r="D74" s="80">
        <v>6</v>
      </c>
      <c r="E74" s="380">
        <v>9252.0400000000009</v>
      </c>
      <c r="F74" s="347">
        <f t="shared" si="40"/>
        <v>55512.240000000005</v>
      </c>
      <c r="G74" s="338">
        <v>6</v>
      </c>
      <c r="H74" s="353"/>
      <c r="I74" s="349">
        <f t="shared" si="45"/>
        <v>6</v>
      </c>
      <c r="J74" s="350">
        <f t="shared" si="46"/>
        <v>1</v>
      </c>
      <c r="K74" s="351">
        <f t="shared" ref="K74:K75" si="49">G74*E74</f>
        <v>55512.240000000005</v>
      </c>
      <c r="L74" s="354"/>
      <c r="M74" s="352">
        <f t="shared" si="47"/>
        <v>55512.240000000005</v>
      </c>
      <c r="N74" s="232"/>
    </row>
    <row r="75" spans="1:14">
      <c r="A75" s="344">
        <f t="shared" si="48"/>
        <v>10.029999999999999</v>
      </c>
      <c r="B75" s="24" t="s">
        <v>305</v>
      </c>
      <c r="C75" s="368" t="s">
        <v>45</v>
      </c>
      <c r="D75" s="80">
        <v>5</v>
      </c>
      <c r="E75" s="380">
        <v>6707.3</v>
      </c>
      <c r="F75" s="347">
        <f t="shared" si="40"/>
        <v>33536.5</v>
      </c>
      <c r="G75" s="338">
        <v>5</v>
      </c>
      <c r="H75" s="353"/>
      <c r="I75" s="349">
        <f t="shared" si="45"/>
        <v>5</v>
      </c>
      <c r="J75" s="350">
        <f t="shared" si="46"/>
        <v>1</v>
      </c>
      <c r="K75" s="351">
        <f t="shared" si="49"/>
        <v>33536.5</v>
      </c>
      <c r="L75" s="354"/>
      <c r="M75" s="352">
        <f t="shared" si="47"/>
        <v>33536.5</v>
      </c>
      <c r="N75" s="232"/>
    </row>
    <row r="76" spans="1:14">
      <c r="A76" s="344">
        <f t="shared" si="48"/>
        <v>10.039999999999999</v>
      </c>
      <c r="B76" s="68" t="s">
        <v>257</v>
      </c>
      <c r="C76" s="361"/>
      <c r="D76" s="355"/>
      <c r="E76" s="355"/>
      <c r="F76" s="356">
        <f>SUM(F72:F75)</f>
        <v>257348.74</v>
      </c>
      <c r="G76" s="353"/>
      <c r="H76" s="353"/>
      <c r="I76" s="353"/>
      <c r="J76" s="353"/>
      <c r="K76" s="357">
        <f>SUM(K73:K75)</f>
        <v>257348.74</v>
      </c>
      <c r="L76" s="358"/>
      <c r="M76" s="359">
        <f t="shared" si="47"/>
        <v>257348.74</v>
      </c>
      <c r="N76" s="232"/>
    </row>
    <row r="77" spans="1:14" ht="36">
      <c r="A77" s="336">
        <v>11</v>
      </c>
      <c r="B77" s="372" t="s">
        <v>306</v>
      </c>
      <c r="C77" s="361"/>
      <c r="D77" s="355"/>
      <c r="E77" s="355"/>
      <c r="F77" s="347"/>
      <c r="G77" s="353"/>
      <c r="H77" s="353"/>
      <c r="I77" s="353"/>
      <c r="J77" s="353"/>
      <c r="K77" s="341"/>
      <c r="L77" s="360"/>
      <c r="M77" s="352"/>
      <c r="N77" s="232"/>
    </row>
    <row r="78" spans="1:14" ht="36">
      <c r="A78" s="344">
        <f>A77+0.01</f>
        <v>11.01</v>
      </c>
      <c r="B78" s="72" t="s">
        <v>307</v>
      </c>
      <c r="C78" s="345" t="s">
        <v>30</v>
      </c>
      <c r="D78" s="370">
        <v>260</v>
      </c>
      <c r="E78" s="370">
        <v>628.13</v>
      </c>
      <c r="F78" s="347">
        <f t="shared" si="40"/>
        <v>163313.79999999999</v>
      </c>
      <c r="G78" s="338">
        <v>260</v>
      </c>
      <c r="H78" s="338"/>
      <c r="I78" s="349">
        <f t="shared" ref="I78:I83" si="50">G78+H78</f>
        <v>260</v>
      </c>
      <c r="J78" s="350">
        <f t="shared" ref="J78:J83" si="51">I78/D78</f>
        <v>1</v>
      </c>
      <c r="K78" s="351">
        <f>G78*E78</f>
        <v>163313.79999999999</v>
      </c>
      <c r="L78" s="354"/>
      <c r="M78" s="352">
        <f t="shared" ref="M78:M84" si="52">K78+L78</f>
        <v>163313.79999999999</v>
      </c>
      <c r="N78" s="232"/>
    </row>
    <row r="79" spans="1:14" ht="36">
      <c r="A79" s="344">
        <f t="shared" ref="A79:A83" si="53">A78+0.01</f>
        <v>11.02</v>
      </c>
      <c r="B79" s="72" t="s">
        <v>308</v>
      </c>
      <c r="C79" s="345" t="s">
        <v>30</v>
      </c>
      <c r="D79" s="370">
        <v>255</v>
      </c>
      <c r="E79" s="370">
        <v>628.13</v>
      </c>
      <c r="F79" s="347">
        <f t="shared" si="40"/>
        <v>160173.15</v>
      </c>
      <c r="G79" s="338">
        <v>255</v>
      </c>
      <c r="H79" s="338"/>
      <c r="I79" s="349">
        <f>G79+H79</f>
        <v>255</v>
      </c>
      <c r="J79" s="350">
        <f t="shared" si="51"/>
        <v>1</v>
      </c>
      <c r="K79" s="351">
        <f>G79*E79</f>
        <v>160173.15</v>
      </c>
      <c r="L79" s="354"/>
      <c r="M79" s="352">
        <f t="shared" si="52"/>
        <v>160173.15</v>
      </c>
      <c r="N79" s="232"/>
    </row>
    <row r="80" spans="1:14">
      <c r="A80" s="344">
        <f t="shared" si="53"/>
        <v>11.03</v>
      </c>
      <c r="B80" s="355" t="s">
        <v>309</v>
      </c>
      <c r="C80" s="345" t="s">
        <v>30</v>
      </c>
      <c r="D80" s="361">
        <v>15.25</v>
      </c>
      <c r="E80" s="373">
        <v>2450</v>
      </c>
      <c r="F80" s="347">
        <f t="shared" si="40"/>
        <v>37362.5</v>
      </c>
      <c r="G80" s="338">
        <v>15.25</v>
      </c>
      <c r="H80" s="338"/>
      <c r="I80" s="349">
        <f>G80+H80</f>
        <v>15.25</v>
      </c>
      <c r="J80" s="350">
        <f t="shared" si="51"/>
        <v>1</v>
      </c>
      <c r="K80" s="351">
        <f t="shared" ref="K80:K83" si="54">G80*E80</f>
        <v>37362.5</v>
      </c>
      <c r="L80" s="351"/>
      <c r="M80" s="352">
        <f t="shared" si="52"/>
        <v>37362.5</v>
      </c>
      <c r="N80" s="232"/>
    </row>
    <row r="81" spans="1:14" ht="24">
      <c r="A81" s="381">
        <f t="shared" si="53"/>
        <v>11.04</v>
      </c>
      <c r="B81" s="72" t="s">
        <v>279</v>
      </c>
      <c r="C81" s="368" t="s">
        <v>45</v>
      </c>
      <c r="D81" s="378">
        <v>3</v>
      </c>
      <c r="E81" s="373">
        <v>35500</v>
      </c>
      <c r="F81" s="379">
        <f t="shared" si="40"/>
        <v>106500</v>
      </c>
      <c r="G81" s="338">
        <v>3</v>
      </c>
      <c r="H81" s="338"/>
      <c r="I81" s="349">
        <f t="shared" si="50"/>
        <v>3</v>
      </c>
      <c r="J81" s="350">
        <f t="shared" si="51"/>
        <v>1</v>
      </c>
      <c r="K81" s="351">
        <f t="shared" si="54"/>
        <v>106500</v>
      </c>
      <c r="L81" s="351"/>
      <c r="M81" s="352">
        <f t="shared" si="52"/>
        <v>106500</v>
      </c>
      <c r="N81" s="232"/>
    </row>
    <row r="82" spans="1:14">
      <c r="A82" s="344">
        <f t="shared" si="53"/>
        <v>11.049999999999999</v>
      </c>
      <c r="B82" s="76" t="s">
        <v>292</v>
      </c>
      <c r="C82" s="345" t="s">
        <v>30</v>
      </c>
      <c r="D82" s="370">
        <v>15.25</v>
      </c>
      <c r="E82" s="80">
        <v>552</v>
      </c>
      <c r="F82" s="347">
        <f t="shared" si="40"/>
        <v>8418</v>
      </c>
      <c r="G82" s="338">
        <v>15.25</v>
      </c>
      <c r="H82" s="338"/>
      <c r="I82" s="349">
        <f t="shared" si="50"/>
        <v>15.25</v>
      </c>
      <c r="J82" s="350">
        <f t="shared" si="51"/>
        <v>1</v>
      </c>
      <c r="K82" s="351">
        <f t="shared" si="54"/>
        <v>8418</v>
      </c>
      <c r="L82" s="351"/>
      <c r="M82" s="352">
        <f t="shared" si="52"/>
        <v>8418</v>
      </c>
      <c r="N82" s="232"/>
    </row>
    <row r="83" spans="1:14">
      <c r="A83" s="344">
        <f t="shared" si="53"/>
        <v>11.059999999999999</v>
      </c>
      <c r="B83" s="376" t="s">
        <v>293</v>
      </c>
      <c r="C83" s="345" t="s">
        <v>30</v>
      </c>
      <c r="D83" s="370">
        <v>15.25</v>
      </c>
      <c r="E83" s="80">
        <v>301.77999999999997</v>
      </c>
      <c r="F83" s="347">
        <f t="shared" si="40"/>
        <v>4602.1449999999995</v>
      </c>
      <c r="G83" s="338">
        <v>15.25</v>
      </c>
      <c r="H83" s="338"/>
      <c r="I83" s="349">
        <f t="shared" si="50"/>
        <v>15.25</v>
      </c>
      <c r="J83" s="350">
        <f t="shared" si="51"/>
        <v>1</v>
      </c>
      <c r="K83" s="351">
        <f t="shared" si="54"/>
        <v>4602.1449999999995</v>
      </c>
      <c r="L83" s="351"/>
      <c r="M83" s="352">
        <f t="shared" si="52"/>
        <v>4602.1449999999995</v>
      </c>
      <c r="N83" s="232"/>
    </row>
    <row r="84" spans="1:14">
      <c r="A84" s="337"/>
      <c r="B84" s="23" t="s">
        <v>257</v>
      </c>
      <c r="C84" s="345"/>
      <c r="D84" s="26"/>
      <c r="E84" s="26"/>
      <c r="F84" s="356">
        <f>SUM(F78:F83)</f>
        <v>480369.59499999997</v>
      </c>
      <c r="G84" s="353"/>
      <c r="H84" s="353"/>
      <c r="I84" s="353"/>
      <c r="J84" s="353"/>
      <c r="K84" s="357">
        <f>SUM(K78:K83)</f>
        <v>480369.59499999997</v>
      </c>
      <c r="L84" s="358"/>
      <c r="M84" s="359">
        <f t="shared" si="52"/>
        <v>480369.59499999997</v>
      </c>
      <c r="N84" s="232"/>
    </row>
    <row r="85" spans="1:14" ht="24.75">
      <c r="A85" s="336">
        <v>12</v>
      </c>
      <c r="B85" s="382" t="s">
        <v>310</v>
      </c>
      <c r="C85" s="355"/>
      <c r="D85" s="355"/>
      <c r="E85" s="355"/>
      <c r="F85" s="347"/>
      <c r="G85" s="353"/>
      <c r="H85" s="353"/>
      <c r="I85" s="353"/>
      <c r="J85" s="353"/>
      <c r="K85" s="341"/>
      <c r="L85" s="360"/>
      <c r="M85" s="352"/>
      <c r="N85" s="232"/>
    </row>
    <row r="86" spans="1:14">
      <c r="A86" s="344">
        <f>A85+0.01</f>
        <v>12.01</v>
      </c>
      <c r="B86" s="68" t="s">
        <v>28</v>
      </c>
      <c r="C86" s="355"/>
      <c r="D86" s="355"/>
      <c r="E86" s="355"/>
      <c r="F86" s="347"/>
      <c r="G86" s="353"/>
      <c r="H86" s="353"/>
      <c r="I86" s="353"/>
      <c r="J86" s="353"/>
      <c r="K86" s="341"/>
      <c r="L86" s="360"/>
      <c r="M86" s="352"/>
      <c r="N86" s="232"/>
    </row>
    <row r="87" spans="1:14">
      <c r="A87" s="344">
        <f t="shared" ref="A87:A89" si="55">A86+0.01</f>
        <v>12.02</v>
      </c>
      <c r="B87" s="76" t="s">
        <v>311</v>
      </c>
      <c r="C87" s="361" t="s">
        <v>253</v>
      </c>
      <c r="D87" s="25">
        <v>0.37</v>
      </c>
      <c r="E87" s="26">
        <v>40000</v>
      </c>
      <c r="F87" s="347">
        <f t="shared" si="40"/>
        <v>14800</v>
      </c>
      <c r="G87" s="338">
        <f>D87</f>
        <v>0.37</v>
      </c>
      <c r="H87" s="353"/>
      <c r="I87" s="349">
        <f t="shared" ref="I87:I88" si="56">G87+H87</f>
        <v>0.37</v>
      </c>
      <c r="J87" s="350">
        <f t="shared" ref="J87:J88" si="57">I87/D87</f>
        <v>1</v>
      </c>
      <c r="K87" s="341">
        <f>G87*E87</f>
        <v>14800</v>
      </c>
      <c r="L87" s="351"/>
      <c r="M87" s="352">
        <f t="shared" ref="M87:M89" si="58">K87+L87</f>
        <v>14800</v>
      </c>
      <c r="N87" s="232"/>
    </row>
    <row r="88" spans="1:14">
      <c r="A88" s="344">
        <f t="shared" si="55"/>
        <v>12.03</v>
      </c>
      <c r="B88" s="76" t="s">
        <v>303</v>
      </c>
      <c r="C88" s="361" t="s">
        <v>30</v>
      </c>
      <c r="D88" s="25">
        <v>705.36</v>
      </c>
      <c r="E88" s="26">
        <v>120</v>
      </c>
      <c r="F88" s="347">
        <f t="shared" si="40"/>
        <v>84643.199999999997</v>
      </c>
      <c r="G88" s="338">
        <f>D88</f>
        <v>705.36</v>
      </c>
      <c r="H88" s="353"/>
      <c r="I88" s="349">
        <f t="shared" si="56"/>
        <v>705.36</v>
      </c>
      <c r="J88" s="350">
        <f t="shared" si="57"/>
        <v>1</v>
      </c>
      <c r="K88" s="341">
        <f>G88*E88</f>
        <v>84643.199999999997</v>
      </c>
      <c r="L88" s="351"/>
      <c r="M88" s="352">
        <f t="shared" si="58"/>
        <v>84643.199999999997</v>
      </c>
      <c r="N88" s="232"/>
    </row>
    <row r="89" spans="1:14">
      <c r="A89" s="344">
        <f t="shared" si="55"/>
        <v>12.04</v>
      </c>
      <c r="B89" s="23" t="s">
        <v>257</v>
      </c>
      <c r="C89" s="355"/>
      <c r="D89" s="355"/>
      <c r="E89" s="355"/>
      <c r="F89" s="356">
        <f>SUM(F87:F88)</f>
        <v>99443.199999999997</v>
      </c>
      <c r="G89" s="353"/>
      <c r="H89" s="353"/>
      <c r="I89" s="353"/>
      <c r="J89" s="353"/>
      <c r="K89" s="357">
        <f>SUM(K87:K88)</f>
        <v>99443.199999999997</v>
      </c>
      <c r="L89" s="358"/>
      <c r="M89" s="359">
        <f t="shared" si="58"/>
        <v>99443.199999999997</v>
      </c>
      <c r="N89" s="232"/>
    </row>
    <row r="90" spans="1:14" ht="24">
      <c r="A90" s="336">
        <v>13</v>
      </c>
      <c r="B90" s="372" t="s">
        <v>312</v>
      </c>
      <c r="C90" s="355"/>
      <c r="D90" s="355"/>
      <c r="E90" s="355"/>
      <c r="F90" s="347"/>
      <c r="G90" s="353"/>
      <c r="H90" s="353"/>
      <c r="I90" s="353"/>
      <c r="J90" s="353"/>
      <c r="K90" s="341"/>
      <c r="L90" s="360"/>
      <c r="M90" s="352"/>
      <c r="N90" s="232"/>
    </row>
    <row r="91" spans="1:14" ht="24">
      <c r="A91" s="344">
        <f>A90+0.01</f>
        <v>13.01</v>
      </c>
      <c r="B91" s="72" t="s">
        <v>313</v>
      </c>
      <c r="C91" s="345" t="s">
        <v>30</v>
      </c>
      <c r="D91" s="345">
        <v>370.31</v>
      </c>
      <c r="E91" s="26">
        <v>2170.98</v>
      </c>
      <c r="F91" s="347">
        <f t="shared" si="40"/>
        <v>803935.60380000004</v>
      </c>
      <c r="G91" s="338">
        <f>D91</f>
        <v>370.31</v>
      </c>
      <c r="H91" s="353"/>
      <c r="I91" s="349">
        <f t="shared" ref="I91:I92" si="59">G91+H91</f>
        <v>370.31</v>
      </c>
      <c r="J91" s="350">
        <f t="shared" ref="J91:J92" si="60">I91/D91</f>
        <v>1</v>
      </c>
      <c r="K91" s="351">
        <f>G91*E91</f>
        <v>803935.60380000004</v>
      </c>
      <c r="L91" s="360"/>
      <c r="M91" s="352"/>
      <c r="N91" s="232"/>
    </row>
    <row r="92" spans="1:14">
      <c r="A92" s="344">
        <f t="shared" ref="A92:A94" si="61">A91+0.01</f>
        <v>13.02</v>
      </c>
      <c r="B92" s="76" t="s">
        <v>314</v>
      </c>
      <c r="C92" s="368" t="s">
        <v>45</v>
      </c>
      <c r="D92" s="346">
        <v>2</v>
      </c>
      <c r="E92" s="346">
        <v>7500</v>
      </c>
      <c r="F92" s="347">
        <f t="shared" si="40"/>
        <v>15000</v>
      </c>
      <c r="G92" s="338">
        <v>2</v>
      </c>
      <c r="H92" s="338"/>
      <c r="I92" s="349">
        <f t="shared" si="59"/>
        <v>2</v>
      </c>
      <c r="J92" s="350">
        <f t="shared" si="60"/>
        <v>1</v>
      </c>
      <c r="K92" s="351">
        <f>G92*E92</f>
        <v>15000</v>
      </c>
      <c r="L92" s="351"/>
      <c r="M92" s="352">
        <f>K92+L92</f>
        <v>15000</v>
      </c>
      <c r="N92" s="232"/>
    </row>
    <row r="93" spans="1:14" ht="24">
      <c r="A93" s="344">
        <f t="shared" si="61"/>
        <v>13.03</v>
      </c>
      <c r="B93" s="72" t="s">
        <v>315</v>
      </c>
      <c r="C93" s="368" t="s">
        <v>45</v>
      </c>
      <c r="D93" s="346">
        <v>2</v>
      </c>
      <c r="E93" s="346">
        <v>45475</v>
      </c>
      <c r="F93" s="347">
        <f t="shared" si="40"/>
        <v>90950</v>
      </c>
      <c r="G93" s="353"/>
      <c r="H93" s="338"/>
      <c r="I93" s="353"/>
      <c r="J93" s="353"/>
      <c r="K93" s="341"/>
      <c r="L93" s="354"/>
      <c r="M93" s="352"/>
      <c r="N93" s="232"/>
    </row>
    <row r="94" spans="1:14">
      <c r="A94" s="344">
        <f t="shared" si="61"/>
        <v>13.04</v>
      </c>
      <c r="B94" s="23" t="s">
        <v>257</v>
      </c>
      <c r="C94" s="355"/>
      <c r="D94" s="355"/>
      <c r="E94" s="355"/>
      <c r="F94" s="356">
        <f>F91+F92</f>
        <v>818935.60380000004</v>
      </c>
      <c r="G94" s="353"/>
      <c r="H94" s="353"/>
      <c r="I94" s="353"/>
      <c r="J94" s="353"/>
      <c r="K94" s="357">
        <f>SUM(K91:K93)</f>
        <v>818935.60380000004</v>
      </c>
      <c r="L94" s="358"/>
      <c r="M94" s="359">
        <f t="shared" ref="M94" si="62">K94+L94</f>
        <v>818935.60380000004</v>
      </c>
      <c r="N94" s="232"/>
    </row>
    <row r="95" spans="1:14">
      <c r="A95" s="336">
        <v>14</v>
      </c>
      <c r="B95" s="68" t="s">
        <v>169</v>
      </c>
      <c r="C95" s="355"/>
      <c r="D95" s="355"/>
      <c r="E95" s="355"/>
      <c r="F95" s="347"/>
      <c r="G95" s="353"/>
      <c r="H95" s="353"/>
      <c r="I95" s="353"/>
      <c r="J95" s="353"/>
      <c r="K95" s="341"/>
      <c r="L95" s="360"/>
      <c r="M95" s="352"/>
      <c r="N95" s="232"/>
    </row>
    <row r="96" spans="1:14">
      <c r="A96" s="344">
        <f>A95+0.01</f>
        <v>14.01</v>
      </c>
      <c r="B96" s="76" t="s">
        <v>35</v>
      </c>
      <c r="C96" s="345" t="s">
        <v>36</v>
      </c>
      <c r="D96" s="26">
        <f>352.68*0.6*1.15</f>
        <v>243.3492</v>
      </c>
      <c r="E96" s="26">
        <v>214</v>
      </c>
      <c r="F96" s="347">
        <f t="shared" si="40"/>
        <v>52076.728799999997</v>
      </c>
      <c r="G96" s="338">
        <f>D96</f>
        <v>243.3492</v>
      </c>
      <c r="H96" s="353"/>
      <c r="I96" s="353"/>
      <c r="J96" s="353"/>
      <c r="K96" s="351">
        <f>G96*E96</f>
        <v>52076.728799999997</v>
      </c>
      <c r="L96" s="354"/>
      <c r="M96" s="352">
        <f t="shared" ref="M96:M101" si="63">K96+L96</f>
        <v>52076.728799999997</v>
      </c>
      <c r="N96" s="232"/>
    </row>
    <row r="97" spans="1:14">
      <c r="A97" s="344">
        <f t="shared" ref="A97:A101" si="64">A96+0.01</f>
        <v>14.02</v>
      </c>
      <c r="B97" s="76" t="s">
        <v>37</v>
      </c>
      <c r="C97" s="345" t="s">
        <v>36</v>
      </c>
      <c r="D97" s="26">
        <f>352.68*0.6*0.1</f>
        <v>21.160800000000002</v>
      </c>
      <c r="E97" s="26">
        <v>2715.82</v>
      </c>
      <c r="F97" s="347">
        <f t="shared" si="40"/>
        <v>57468.923856000009</v>
      </c>
      <c r="G97" s="338">
        <v>21.16</v>
      </c>
      <c r="H97" s="374"/>
      <c r="I97" s="349">
        <f t="shared" ref="I97" si="65">G97+H97</f>
        <v>21.16</v>
      </c>
      <c r="J97" s="350">
        <f t="shared" ref="J97" si="66">I97/D97</f>
        <v>0.99996219424596411</v>
      </c>
      <c r="K97" s="351">
        <f t="shared" ref="K97:K100" si="67">G97*E97</f>
        <v>57466.751200000006</v>
      </c>
      <c r="L97" s="351"/>
      <c r="M97" s="360">
        <f t="shared" si="63"/>
        <v>57466.751200000006</v>
      </c>
      <c r="N97" s="232"/>
    </row>
    <row r="98" spans="1:14" ht="36">
      <c r="A98" s="344">
        <f t="shared" si="64"/>
        <v>14.03</v>
      </c>
      <c r="B98" s="72" t="s">
        <v>316</v>
      </c>
      <c r="C98" s="345" t="s">
        <v>36</v>
      </c>
      <c r="D98" s="26">
        <f>D96*0.4</f>
        <v>97.339680000000001</v>
      </c>
      <c r="E98" s="26">
        <v>545</v>
      </c>
      <c r="F98" s="347">
        <f t="shared" si="40"/>
        <v>53050.125599999999</v>
      </c>
      <c r="G98" s="338">
        <f>D98</f>
        <v>97.339680000000001</v>
      </c>
      <c r="H98" s="353"/>
      <c r="I98" s="353"/>
      <c r="J98" s="353"/>
      <c r="K98" s="351">
        <f t="shared" si="67"/>
        <v>53050.125599999999</v>
      </c>
      <c r="L98" s="351"/>
      <c r="M98" s="360">
        <f t="shared" si="63"/>
        <v>53050.125599999999</v>
      </c>
      <c r="N98" s="383"/>
    </row>
    <row r="99" spans="1:14">
      <c r="A99" s="344">
        <f t="shared" si="64"/>
        <v>14.04</v>
      </c>
      <c r="B99" s="76" t="s">
        <v>39</v>
      </c>
      <c r="C99" s="345" t="s">
        <v>36</v>
      </c>
      <c r="D99" s="26">
        <v>229.36</v>
      </c>
      <c r="E99" s="26">
        <v>380</v>
      </c>
      <c r="F99" s="347">
        <f t="shared" si="40"/>
        <v>87156.800000000003</v>
      </c>
      <c r="G99" s="367">
        <v>227.46</v>
      </c>
      <c r="H99" s="374"/>
      <c r="I99" s="349">
        <f t="shared" ref="I99:I100" si="68">G99+H99</f>
        <v>227.46</v>
      </c>
      <c r="J99" s="350">
        <f t="shared" ref="J99:J100" si="69">I99/D99</f>
        <v>0.99171607952563656</v>
      </c>
      <c r="K99" s="351">
        <f t="shared" si="67"/>
        <v>86434.8</v>
      </c>
      <c r="L99" s="351"/>
      <c r="M99" s="360">
        <f t="shared" si="63"/>
        <v>86434.8</v>
      </c>
      <c r="N99" s="232"/>
    </row>
    <row r="100" spans="1:14" ht="24">
      <c r="A100" s="344">
        <f t="shared" si="64"/>
        <v>14.049999999999999</v>
      </c>
      <c r="B100" s="72" t="s">
        <v>317</v>
      </c>
      <c r="C100" s="368" t="s">
        <v>36</v>
      </c>
      <c r="D100" s="26">
        <v>206.84</v>
      </c>
      <c r="E100" s="26">
        <v>750</v>
      </c>
      <c r="F100" s="347">
        <f t="shared" si="40"/>
        <v>155130</v>
      </c>
      <c r="G100" s="338">
        <f>D100</f>
        <v>206.84</v>
      </c>
      <c r="H100" s="353"/>
      <c r="I100" s="349">
        <f t="shared" si="68"/>
        <v>206.84</v>
      </c>
      <c r="J100" s="350">
        <f t="shared" si="69"/>
        <v>1</v>
      </c>
      <c r="K100" s="351">
        <f t="shared" si="67"/>
        <v>155130</v>
      </c>
      <c r="L100" s="351"/>
      <c r="M100" s="360">
        <f t="shared" si="63"/>
        <v>155130</v>
      </c>
      <c r="N100" s="232"/>
    </row>
    <row r="101" spans="1:14">
      <c r="A101" s="344">
        <f t="shared" si="64"/>
        <v>14.059999999999999</v>
      </c>
      <c r="B101" s="68" t="s">
        <v>257</v>
      </c>
      <c r="C101" s="355"/>
      <c r="D101" s="355"/>
      <c r="E101" s="355"/>
      <c r="F101" s="356">
        <f>SUM(F96:F100)</f>
        <v>404882.57825600001</v>
      </c>
      <c r="G101" s="353"/>
      <c r="H101" s="353"/>
      <c r="I101" s="353"/>
      <c r="J101" s="353"/>
      <c r="K101" s="357">
        <f>SUM(K96:K100)</f>
        <v>404158.4056</v>
      </c>
      <c r="L101" s="358"/>
      <c r="M101" s="358">
        <f t="shared" si="63"/>
        <v>404158.4056</v>
      </c>
      <c r="N101" s="232"/>
    </row>
    <row r="102" spans="1:14">
      <c r="A102" s="336">
        <v>15</v>
      </c>
      <c r="B102" s="23" t="s">
        <v>318</v>
      </c>
      <c r="C102" s="355"/>
      <c r="D102" s="355"/>
      <c r="E102" s="355"/>
      <c r="F102" s="347"/>
      <c r="G102" s="353"/>
      <c r="H102" s="353"/>
      <c r="I102" s="353"/>
      <c r="J102" s="353"/>
      <c r="K102" s="341"/>
      <c r="L102" s="360"/>
      <c r="M102" s="352"/>
      <c r="N102" s="232"/>
    </row>
    <row r="103" spans="1:14" ht="24">
      <c r="A103" s="344">
        <f>A102+0.01</f>
        <v>15.01</v>
      </c>
      <c r="B103" s="72" t="s">
        <v>319</v>
      </c>
      <c r="C103" s="361" t="s">
        <v>30</v>
      </c>
      <c r="D103" s="346">
        <v>24</v>
      </c>
      <c r="E103" s="346">
        <v>5250</v>
      </c>
      <c r="F103" s="347">
        <f t="shared" si="40"/>
        <v>126000</v>
      </c>
      <c r="G103" s="353"/>
      <c r="H103" s="384">
        <v>24</v>
      </c>
      <c r="I103" s="349">
        <f t="shared" ref="I103:I108" si="70">G103+H103</f>
        <v>24</v>
      </c>
      <c r="J103" s="350">
        <f t="shared" ref="J103:J108" si="71">I103/D103</f>
        <v>1</v>
      </c>
      <c r="K103" s="341"/>
      <c r="L103" s="351">
        <f t="shared" ref="L103:L108" si="72">H103*E103</f>
        <v>126000</v>
      </c>
      <c r="M103" s="352">
        <f t="shared" ref="M103:M109" si="73">K103+L103</f>
        <v>126000</v>
      </c>
      <c r="N103" s="232"/>
    </row>
    <row r="104" spans="1:14">
      <c r="A104" s="344">
        <f t="shared" ref="A104:A109" si="74">A103+0.01</f>
        <v>15.02</v>
      </c>
      <c r="B104" s="24" t="s">
        <v>320</v>
      </c>
      <c r="C104" s="361" t="s">
        <v>30</v>
      </c>
      <c r="D104" s="346">
        <v>24</v>
      </c>
      <c r="E104" s="346">
        <v>301</v>
      </c>
      <c r="F104" s="347">
        <f t="shared" si="40"/>
        <v>7224</v>
      </c>
      <c r="G104" s="353"/>
      <c r="H104" s="384">
        <v>24</v>
      </c>
      <c r="I104" s="349">
        <f t="shared" si="70"/>
        <v>24</v>
      </c>
      <c r="J104" s="350">
        <f t="shared" si="71"/>
        <v>1</v>
      </c>
      <c r="K104" s="341"/>
      <c r="L104" s="351">
        <f t="shared" si="72"/>
        <v>7224</v>
      </c>
      <c r="M104" s="352">
        <f t="shared" si="73"/>
        <v>7224</v>
      </c>
      <c r="N104" s="232"/>
    </row>
    <row r="105" spans="1:14">
      <c r="A105" s="344">
        <f t="shared" si="74"/>
        <v>15.03</v>
      </c>
      <c r="B105" s="24" t="s">
        <v>321</v>
      </c>
      <c r="C105" s="361" t="s">
        <v>30</v>
      </c>
      <c r="D105" s="346">
        <v>24</v>
      </c>
      <c r="E105" s="346">
        <v>552</v>
      </c>
      <c r="F105" s="347">
        <f t="shared" si="40"/>
        <v>13248</v>
      </c>
      <c r="G105" s="353"/>
      <c r="H105" s="384">
        <v>24</v>
      </c>
      <c r="I105" s="349">
        <f t="shared" si="70"/>
        <v>24</v>
      </c>
      <c r="J105" s="350">
        <f t="shared" si="71"/>
        <v>1</v>
      </c>
      <c r="K105" s="341"/>
      <c r="L105" s="351">
        <f t="shared" si="72"/>
        <v>13248</v>
      </c>
      <c r="M105" s="352">
        <f t="shared" si="73"/>
        <v>13248</v>
      </c>
      <c r="N105" s="232"/>
    </row>
    <row r="106" spans="1:14" ht="24">
      <c r="A106" s="344">
        <f t="shared" si="74"/>
        <v>15.04</v>
      </c>
      <c r="B106" s="72" t="s">
        <v>315</v>
      </c>
      <c r="C106" s="368" t="s">
        <v>45</v>
      </c>
      <c r="D106" s="346">
        <v>1</v>
      </c>
      <c r="E106" s="346">
        <v>45475</v>
      </c>
      <c r="F106" s="347">
        <f t="shared" si="40"/>
        <v>45475</v>
      </c>
      <c r="G106" s="353"/>
      <c r="H106" s="384">
        <v>1</v>
      </c>
      <c r="I106" s="349">
        <f t="shared" si="70"/>
        <v>1</v>
      </c>
      <c r="J106" s="350">
        <f t="shared" si="71"/>
        <v>1</v>
      </c>
      <c r="K106" s="341"/>
      <c r="L106" s="351">
        <f t="shared" si="72"/>
        <v>45475</v>
      </c>
      <c r="M106" s="352">
        <f t="shared" si="73"/>
        <v>45475</v>
      </c>
      <c r="N106" s="232"/>
    </row>
    <row r="107" spans="1:14">
      <c r="A107" s="344">
        <f t="shared" si="74"/>
        <v>15.049999999999999</v>
      </c>
      <c r="B107" s="355" t="s">
        <v>322</v>
      </c>
      <c r="C107" s="368" t="s">
        <v>45</v>
      </c>
      <c r="D107" s="346">
        <v>1</v>
      </c>
      <c r="E107" s="346">
        <v>30000</v>
      </c>
      <c r="F107" s="347">
        <f t="shared" si="40"/>
        <v>30000</v>
      </c>
      <c r="G107" s="353"/>
      <c r="H107" s="384">
        <v>1</v>
      </c>
      <c r="I107" s="349">
        <f t="shared" si="70"/>
        <v>1</v>
      </c>
      <c r="J107" s="350">
        <f t="shared" si="71"/>
        <v>1</v>
      </c>
      <c r="K107" s="341"/>
      <c r="L107" s="351">
        <f t="shared" si="72"/>
        <v>30000</v>
      </c>
      <c r="M107" s="352">
        <f t="shared" si="73"/>
        <v>30000</v>
      </c>
      <c r="N107" s="232"/>
    </row>
    <row r="108" spans="1:14" ht="24">
      <c r="A108" s="344">
        <f t="shared" si="74"/>
        <v>15.059999999999999</v>
      </c>
      <c r="B108" s="72" t="s">
        <v>279</v>
      </c>
      <c r="C108" s="368" t="s">
        <v>45</v>
      </c>
      <c r="D108" s="346">
        <v>1</v>
      </c>
      <c r="E108" s="385">
        <v>35500</v>
      </c>
      <c r="F108" s="347">
        <f t="shared" si="40"/>
        <v>35500</v>
      </c>
      <c r="G108" s="353"/>
      <c r="H108" s="384">
        <v>1</v>
      </c>
      <c r="I108" s="349">
        <f t="shared" si="70"/>
        <v>1</v>
      </c>
      <c r="J108" s="350">
        <f t="shared" si="71"/>
        <v>1</v>
      </c>
      <c r="K108" s="341"/>
      <c r="L108" s="351">
        <f t="shared" si="72"/>
        <v>35500</v>
      </c>
      <c r="M108" s="352">
        <f t="shared" si="73"/>
        <v>35500</v>
      </c>
      <c r="N108" s="232"/>
    </row>
    <row r="109" spans="1:14">
      <c r="A109" s="344">
        <f t="shared" si="74"/>
        <v>15.069999999999999</v>
      </c>
      <c r="B109" s="23" t="s">
        <v>286</v>
      </c>
      <c r="C109" s="355"/>
      <c r="D109" s="355"/>
      <c r="E109" s="355"/>
      <c r="F109" s="386">
        <f>SUM(F103:F108)</f>
        <v>257447</v>
      </c>
      <c r="G109" s="353"/>
      <c r="H109" s="353"/>
      <c r="I109" s="353"/>
      <c r="J109" s="353"/>
      <c r="K109" s="341"/>
      <c r="L109" s="358">
        <f>SUM(L103:L108)</f>
        <v>257447</v>
      </c>
      <c r="M109" s="359">
        <f t="shared" si="73"/>
        <v>257447</v>
      </c>
      <c r="N109" s="232"/>
    </row>
    <row r="110" spans="1:14">
      <c r="A110" s="336">
        <v>16</v>
      </c>
      <c r="B110" s="68" t="s">
        <v>129</v>
      </c>
      <c r="C110" s="355"/>
      <c r="D110" s="355"/>
      <c r="E110" s="355"/>
      <c r="F110" s="347"/>
      <c r="G110" s="353"/>
      <c r="H110" s="353"/>
      <c r="I110" s="353"/>
      <c r="J110" s="353"/>
      <c r="K110" s="341"/>
      <c r="L110" s="360"/>
      <c r="M110" s="352"/>
      <c r="N110" s="232"/>
    </row>
    <row r="111" spans="1:14" ht="24">
      <c r="A111" s="344">
        <f>A110+0.01</f>
        <v>16.010000000000002</v>
      </c>
      <c r="B111" s="72" t="s">
        <v>323</v>
      </c>
      <c r="C111" s="345" t="s">
        <v>45</v>
      </c>
      <c r="D111" s="346">
        <v>1</v>
      </c>
      <c r="E111" s="387">
        <v>421000</v>
      </c>
      <c r="F111" s="347">
        <f t="shared" si="40"/>
        <v>421000</v>
      </c>
      <c r="G111" s="353"/>
      <c r="H111" s="338">
        <v>1</v>
      </c>
      <c r="I111" s="349">
        <f t="shared" ref="I111" si="75">G111+H111</f>
        <v>1</v>
      </c>
      <c r="J111" s="350">
        <f t="shared" ref="J111" si="76">I111/D111</f>
        <v>1</v>
      </c>
      <c r="K111" s="341"/>
      <c r="L111" s="351">
        <f>H111*E111</f>
        <v>421000</v>
      </c>
      <c r="M111" s="352">
        <f t="shared" ref="M111:M112" si="77">K111+L111</f>
        <v>421000</v>
      </c>
      <c r="N111" s="232"/>
    </row>
    <row r="112" spans="1:14">
      <c r="A112" s="344">
        <f>A111+0.01</f>
        <v>16.020000000000003</v>
      </c>
      <c r="B112" s="23" t="s">
        <v>286</v>
      </c>
      <c r="C112" s="368"/>
      <c r="D112" s="355"/>
      <c r="E112" s="385"/>
      <c r="F112" s="356">
        <f>SUM(F111)</f>
        <v>421000</v>
      </c>
      <c r="G112" s="353"/>
      <c r="H112" s="353"/>
      <c r="I112" s="353"/>
      <c r="J112" s="353"/>
      <c r="K112" s="341"/>
      <c r="L112" s="358">
        <f>SUM(L111)</f>
        <v>421000</v>
      </c>
      <c r="M112" s="359">
        <f t="shared" si="77"/>
        <v>421000</v>
      </c>
      <c r="N112" s="232"/>
    </row>
    <row r="113" spans="1:14">
      <c r="A113" s="336">
        <v>17</v>
      </c>
      <c r="B113" s="68" t="s">
        <v>324</v>
      </c>
      <c r="C113" s="355"/>
      <c r="D113" s="355"/>
      <c r="E113" s="355"/>
      <c r="F113" s="347"/>
      <c r="G113" s="353"/>
      <c r="H113" s="353"/>
      <c r="I113" s="353"/>
      <c r="J113" s="353"/>
      <c r="K113" s="341"/>
      <c r="L113" s="360"/>
      <c r="M113" s="352"/>
      <c r="N113" s="232"/>
    </row>
    <row r="114" spans="1:14" ht="36">
      <c r="A114" s="344">
        <f>A113+0.01</f>
        <v>17.010000000000002</v>
      </c>
      <c r="B114" s="72" t="s">
        <v>325</v>
      </c>
      <c r="C114" s="345" t="s">
        <v>78</v>
      </c>
      <c r="D114" s="26">
        <v>3</v>
      </c>
      <c r="E114" s="26">
        <v>55000</v>
      </c>
      <c r="F114" s="347">
        <f t="shared" si="40"/>
        <v>165000</v>
      </c>
      <c r="G114" s="338">
        <v>3</v>
      </c>
      <c r="H114" s="353"/>
      <c r="I114" s="349">
        <f t="shared" ref="I114:I125" si="78">G114+H114</f>
        <v>3</v>
      </c>
      <c r="J114" s="350">
        <f t="shared" ref="J114:J125" si="79">I114/D114</f>
        <v>1</v>
      </c>
      <c r="K114" s="351">
        <f t="shared" ref="K114:K125" si="80">G114*E114</f>
        <v>165000</v>
      </c>
      <c r="L114" s="354"/>
      <c r="M114" s="352">
        <f t="shared" ref="M114:M126" si="81">K114+L114</f>
        <v>165000</v>
      </c>
      <c r="N114" s="232"/>
    </row>
    <row r="115" spans="1:14">
      <c r="A115" s="344">
        <f t="shared" ref="A115:A126" si="82">A114+0.01</f>
        <v>17.020000000000003</v>
      </c>
      <c r="B115" s="76" t="s">
        <v>326</v>
      </c>
      <c r="C115" s="345" t="s">
        <v>32</v>
      </c>
      <c r="D115" s="26">
        <v>1</v>
      </c>
      <c r="E115" s="26">
        <v>30000</v>
      </c>
      <c r="F115" s="347">
        <f t="shared" si="40"/>
        <v>30000</v>
      </c>
      <c r="G115" s="338">
        <v>1</v>
      </c>
      <c r="H115" s="353"/>
      <c r="I115" s="349">
        <f t="shared" si="78"/>
        <v>1</v>
      </c>
      <c r="J115" s="350">
        <f t="shared" si="79"/>
        <v>1</v>
      </c>
      <c r="K115" s="351">
        <f t="shared" si="80"/>
        <v>30000</v>
      </c>
      <c r="L115" s="354"/>
      <c r="M115" s="352">
        <f t="shared" si="81"/>
        <v>30000</v>
      </c>
      <c r="N115" s="232"/>
    </row>
    <row r="116" spans="1:14" ht="24">
      <c r="A116" s="344">
        <f t="shared" si="82"/>
        <v>17.030000000000005</v>
      </c>
      <c r="B116" s="72" t="s">
        <v>327</v>
      </c>
      <c r="C116" s="345" t="s">
        <v>32</v>
      </c>
      <c r="D116" s="26">
        <v>1</v>
      </c>
      <c r="E116" s="26">
        <v>30000</v>
      </c>
      <c r="F116" s="347">
        <f t="shared" si="40"/>
        <v>30000</v>
      </c>
      <c r="G116" s="338">
        <v>1</v>
      </c>
      <c r="H116" s="353"/>
      <c r="I116" s="349">
        <f t="shared" si="78"/>
        <v>1</v>
      </c>
      <c r="J116" s="350">
        <f t="shared" si="79"/>
        <v>1</v>
      </c>
      <c r="K116" s="351">
        <f t="shared" si="80"/>
        <v>30000</v>
      </c>
      <c r="L116" s="354"/>
      <c r="M116" s="352">
        <f t="shared" si="81"/>
        <v>30000</v>
      </c>
      <c r="N116" s="232"/>
    </row>
    <row r="117" spans="1:14">
      <c r="A117" s="344">
        <f t="shared" si="82"/>
        <v>17.040000000000006</v>
      </c>
      <c r="B117" s="76" t="s">
        <v>328</v>
      </c>
      <c r="C117" s="345" t="s">
        <v>45</v>
      </c>
      <c r="D117" s="26">
        <v>1</v>
      </c>
      <c r="E117" s="26">
        <v>12000</v>
      </c>
      <c r="F117" s="347">
        <f t="shared" si="40"/>
        <v>12000</v>
      </c>
      <c r="G117" s="338">
        <v>1</v>
      </c>
      <c r="H117" s="353"/>
      <c r="I117" s="349">
        <f t="shared" si="78"/>
        <v>1</v>
      </c>
      <c r="J117" s="350">
        <f t="shared" si="79"/>
        <v>1</v>
      </c>
      <c r="K117" s="351">
        <f t="shared" si="80"/>
        <v>12000</v>
      </c>
      <c r="L117" s="354"/>
      <c r="M117" s="352">
        <f t="shared" si="81"/>
        <v>12000</v>
      </c>
      <c r="N117" s="232"/>
    </row>
    <row r="118" spans="1:14">
      <c r="A118" s="344">
        <f t="shared" si="82"/>
        <v>17.050000000000008</v>
      </c>
      <c r="B118" s="76" t="s">
        <v>329</v>
      </c>
      <c r="C118" s="345" t="s">
        <v>45</v>
      </c>
      <c r="D118" s="26">
        <v>2</v>
      </c>
      <c r="E118" s="26">
        <v>2000</v>
      </c>
      <c r="F118" s="347">
        <f t="shared" si="40"/>
        <v>4000</v>
      </c>
      <c r="G118" s="338">
        <v>2</v>
      </c>
      <c r="H118" s="353"/>
      <c r="I118" s="349">
        <f t="shared" si="78"/>
        <v>2</v>
      </c>
      <c r="J118" s="350">
        <f t="shared" si="79"/>
        <v>1</v>
      </c>
      <c r="K118" s="351">
        <f t="shared" si="80"/>
        <v>4000</v>
      </c>
      <c r="L118" s="354"/>
      <c r="M118" s="352">
        <f t="shared" si="81"/>
        <v>4000</v>
      </c>
      <c r="N118" s="232"/>
    </row>
    <row r="119" spans="1:14">
      <c r="A119" s="344">
        <f t="shared" si="82"/>
        <v>17.060000000000009</v>
      </c>
      <c r="B119" s="76" t="s">
        <v>330</v>
      </c>
      <c r="C119" s="345" t="s">
        <v>45</v>
      </c>
      <c r="D119" s="26">
        <v>3</v>
      </c>
      <c r="E119" s="26">
        <v>8500</v>
      </c>
      <c r="F119" s="347">
        <f t="shared" si="40"/>
        <v>25500</v>
      </c>
      <c r="G119" s="338">
        <v>3</v>
      </c>
      <c r="H119" s="353"/>
      <c r="I119" s="349">
        <f t="shared" si="78"/>
        <v>3</v>
      </c>
      <c r="J119" s="350">
        <f t="shared" si="79"/>
        <v>1</v>
      </c>
      <c r="K119" s="351">
        <f t="shared" si="80"/>
        <v>25500</v>
      </c>
      <c r="L119" s="354"/>
      <c r="M119" s="352">
        <f t="shared" si="81"/>
        <v>25500</v>
      </c>
      <c r="N119" s="232"/>
    </row>
    <row r="120" spans="1:14">
      <c r="A120" s="344">
        <f t="shared" si="82"/>
        <v>17.070000000000011</v>
      </c>
      <c r="B120" s="76" t="s">
        <v>331</v>
      </c>
      <c r="C120" s="345" t="s">
        <v>45</v>
      </c>
      <c r="D120" s="26">
        <v>1</v>
      </c>
      <c r="E120" s="26">
        <v>52000</v>
      </c>
      <c r="F120" s="347">
        <f t="shared" si="40"/>
        <v>52000</v>
      </c>
      <c r="G120" s="338">
        <v>1</v>
      </c>
      <c r="H120" s="353"/>
      <c r="I120" s="349">
        <f t="shared" si="78"/>
        <v>1</v>
      </c>
      <c r="J120" s="350">
        <f t="shared" si="79"/>
        <v>1</v>
      </c>
      <c r="K120" s="351">
        <f t="shared" si="80"/>
        <v>52000</v>
      </c>
      <c r="L120" s="354"/>
      <c r="M120" s="352">
        <f t="shared" si="81"/>
        <v>52000</v>
      </c>
      <c r="N120" s="232"/>
    </row>
    <row r="121" spans="1:14">
      <c r="A121" s="344">
        <f t="shared" si="82"/>
        <v>17.080000000000013</v>
      </c>
      <c r="B121" s="76" t="s">
        <v>332</v>
      </c>
      <c r="C121" s="345" t="s">
        <v>45</v>
      </c>
      <c r="D121" s="26">
        <v>2</v>
      </c>
      <c r="E121" s="26">
        <v>35129</v>
      </c>
      <c r="F121" s="347">
        <f t="shared" si="40"/>
        <v>70258</v>
      </c>
      <c r="G121" s="338">
        <v>2</v>
      </c>
      <c r="H121" s="353"/>
      <c r="I121" s="349">
        <f t="shared" si="78"/>
        <v>2</v>
      </c>
      <c r="J121" s="350">
        <f t="shared" si="79"/>
        <v>1</v>
      </c>
      <c r="K121" s="351">
        <f t="shared" si="80"/>
        <v>70258</v>
      </c>
      <c r="L121" s="354"/>
      <c r="M121" s="352">
        <f t="shared" si="81"/>
        <v>70258</v>
      </c>
      <c r="N121" s="232"/>
    </row>
    <row r="122" spans="1:14">
      <c r="A122" s="344">
        <f t="shared" si="82"/>
        <v>17.090000000000014</v>
      </c>
      <c r="B122" s="76" t="s">
        <v>333</v>
      </c>
      <c r="C122" s="345" t="s">
        <v>45</v>
      </c>
      <c r="D122" s="26">
        <v>1</v>
      </c>
      <c r="E122" s="26">
        <v>19364</v>
      </c>
      <c r="F122" s="347">
        <f t="shared" si="40"/>
        <v>19364</v>
      </c>
      <c r="G122" s="338">
        <v>1</v>
      </c>
      <c r="H122" s="353"/>
      <c r="I122" s="349">
        <f t="shared" si="78"/>
        <v>1</v>
      </c>
      <c r="J122" s="350">
        <f t="shared" si="79"/>
        <v>1</v>
      </c>
      <c r="K122" s="351">
        <f t="shared" si="80"/>
        <v>19364</v>
      </c>
      <c r="L122" s="354"/>
      <c r="M122" s="352">
        <f t="shared" si="81"/>
        <v>19364</v>
      </c>
      <c r="N122" s="232"/>
    </row>
    <row r="123" spans="1:14">
      <c r="A123" s="344">
        <f t="shared" si="82"/>
        <v>17.100000000000016</v>
      </c>
      <c r="B123" s="76" t="s">
        <v>334</v>
      </c>
      <c r="C123" s="345" t="s">
        <v>32</v>
      </c>
      <c r="D123" s="26">
        <v>3</v>
      </c>
      <c r="E123" s="26">
        <v>10200</v>
      </c>
      <c r="F123" s="347">
        <f t="shared" si="40"/>
        <v>30600</v>
      </c>
      <c r="G123" s="338">
        <v>3</v>
      </c>
      <c r="H123" s="353"/>
      <c r="I123" s="349">
        <f t="shared" si="78"/>
        <v>3</v>
      </c>
      <c r="J123" s="350">
        <f t="shared" si="79"/>
        <v>1</v>
      </c>
      <c r="K123" s="351">
        <f t="shared" si="80"/>
        <v>30600</v>
      </c>
      <c r="L123" s="354"/>
      <c r="M123" s="352">
        <f t="shared" si="81"/>
        <v>30600</v>
      </c>
      <c r="N123" s="232"/>
    </row>
    <row r="124" spans="1:14">
      <c r="A124" s="344">
        <f t="shared" si="82"/>
        <v>17.110000000000017</v>
      </c>
      <c r="B124" s="76" t="s">
        <v>335</v>
      </c>
      <c r="C124" s="345" t="s">
        <v>32</v>
      </c>
      <c r="D124" s="26">
        <v>1</v>
      </c>
      <c r="E124" s="26">
        <v>31935</v>
      </c>
      <c r="F124" s="347">
        <f t="shared" si="40"/>
        <v>31935</v>
      </c>
      <c r="G124" s="338">
        <v>1</v>
      </c>
      <c r="H124" s="353"/>
      <c r="I124" s="349">
        <f t="shared" si="78"/>
        <v>1</v>
      </c>
      <c r="J124" s="350">
        <f t="shared" si="79"/>
        <v>1</v>
      </c>
      <c r="K124" s="351">
        <f t="shared" si="80"/>
        <v>31935</v>
      </c>
      <c r="L124" s="354"/>
      <c r="M124" s="352">
        <f t="shared" si="81"/>
        <v>31935</v>
      </c>
      <c r="N124" s="232"/>
    </row>
    <row r="125" spans="1:14">
      <c r="A125" s="344">
        <f t="shared" si="82"/>
        <v>17.120000000000019</v>
      </c>
      <c r="B125" s="76" t="s">
        <v>336</v>
      </c>
      <c r="C125" s="345" t="s">
        <v>32</v>
      </c>
      <c r="D125" s="26">
        <v>1</v>
      </c>
      <c r="E125" s="26">
        <v>165000</v>
      </c>
      <c r="F125" s="347">
        <f t="shared" si="40"/>
        <v>165000</v>
      </c>
      <c r="G125" s="338">
        <v>1</v>
      </c>
      <c r="H125" s="353"/>
      <c r="I125" s="349">
        <f t="shared" si="78"/>
        <v>1</v>
      </c>
      <c r="J125" s="350">
        <f t="shared" si="79"/>
        <v>1</v>
      </c>
      <c r="K125" s="351">
        <f t="shared" si="80"/>
        <v>165000</v>
      </c>
      <c r="L125" s="354"/>
      <c r="M125" s="352">
        <f t="shared" si="81"/>
        <v>165000</v>
      </c>
      <c r="N125" s="232"/>
    </row>
    <row r="126" spans="1:14">
      <c r="A126" s="344">
        <f t="shared" si="82"/>
        <v>17.13000000000002</v>
      </c>
      <c r="B126" s="68" t="s">
        <v>337</v>
      </c>
      <c r="C126" s="355"/>
      <c r="D126" s="355"/>
      <c r="E126" s="355"/>
      <c r="F126" s="356">
        <f>SUM(F114:F125)</f>
        <v>635657</v>
      </c>
      <c r="G126" s="353"/>
      <c r="H126" s="353"/>
      <c r="I126" s="353"/>
      <c r="J126" s="353"/>
      <c r="K126" s="357">
        <f>SUM(K114:K125)</f>
        <v>635657</v>
      </c>
      <c r="L126" s="358"/>
      <c r="M126" s="359">
        <f t="shared" si="81"/>
        <v>635657</v>
      </c>
      <c r="N126" s="232"/>
    </row>
    <row r="127" spans="1:14">
      <c r="A127" s="337"/>
      <c r="B127" s="68" t="s">
        <v>338</v>
      </c>
      <c r="C127" s="355"/>
      <c r="D127" s="345"/>
      <c r="E127" s="355"/>
      <c r="F127" s="347"/>
      <c r="G127" s="353"/>
      <c r="H127" s="353"/>
      <c r="I127" s="353"/>
      <c r="J127" s="353"/>
      <c r="K127" s="341"/>
      <c r="L127" s="360"/>
      <c r="M127" s="352"/>
      <c r="N127" s="232"/>
    </row>
    <row r="128" spans="1:14" ht="36">
      <c r="A128" s="336">
        <v>18</v>
      </c>
      <c r="B128" s="372" t="s">
        <v>339</v>
      </c>
      <c r="C128" s="355"/>
      <c r="D128" s="345"/>
      <c r="E128" s="355"/>
      <c r="F128" s="347"/>
      <c r="G128" s="353"/>
      <c r="H128" s="353"/>
      <c r="I128" s="353"/>
      <c r="J128" s="353"/>
      <c r="K128" s="341"/>
      <c r="L128" s="360"/>
      <c r="M128" s="352"/>
      <c r="N128" s="232"/>
    </row>
    <row r="129" spans="1:14">
      <c r="A129" s="344">
        <f>A128+0.01</f>
        <v>18.010000000000002</v>
      </c>
      <c r="B129" s="76" t="s">
        <v>340</v>
      </c>
      <c r="C129" s="345" t="s">
        <v>45</v>
      </c>
      <c r="D129" s="388">
        <v>1</v>
      </c>
      <c r="E129" s="26">
        <v>450</v>
      </c>
      <c r="F129" s="347">
        <f t="shared" si="40"/>
        <v>450</v>
      </c>
      <c r="G129" s="389">
        <v>1</v>
      </c>
      <c r="H129" s="353"/>
      <c r="I129" s="349">
        <f t="shared" ref="I129:I140" si="83">G129+H129</f>
        <v>1</v>
      </c>
      <c r="J129" s="350">
        <f t="shared" ref="J129:J140" si="84">I129/D129</f>
        <v>1</v>
      </c>
      <c r="K129" s="351">
        <f t="shared" ref="K129:K140" si="85">G129*E129</f>
        <v>450</v>
      </c>
      <c r="L129" s="354"/>
      <c r="M129" s="352">
        <f t="shared" ref="M129:M141" si="86">K129+L129</f>
        <v>450</v>
      </c>
      <c r="N129" s="232"/>
    </row>
    <row r="130" spans="1:14">
      <c r="A130" s="344">
        <f t="shared" ref="A130:A141" si="87">A129+0.01</f>
        <v>18.020000000000003</v>
      </c>
      <c r="B130" s="76" t="s">
        <v>341</v>
      </c>
      <c r="C130" s="345" t="s">
        <v>45</v>
      </c>
      <c r="D130" s="388">
        <v>1</v>
      </c>
      <c r="E130" s="26">
        <v>780</v>
      </c>
      <c r="F130" s="347">
        <f t="shared" si="40"/>
        <v>780</v>
      </c>
      <c r="G130" s="389">
        <v>1</v>
      </c>
      <c r="H130" s="353"/>
      <c r="I130" s="349">
        <f t="shared" si="83"/>
        <v>1</v>
      </c>
      <c r="J130" s="350">
        <f t="shared" si="84"/>
        <v>1</v>
      </c>
      <c r="K130" s="351">
        <f t="shared" si="85"/>
        <v>780</v>
      </c>
      <c r="L130" s="354"/>
      <c r="M130" s="352">
        <f t="shared" si="86"/>
        <v>780</v>
      </c>
      <c r="N130" s="232"/>
    </row>
    <row r="131" spans="1:14">
      <c r="A131" s="344">
        <f t="shared" si="87"/>
        <v>18.030000000000005</v>
      </c>
      <c r="B131" s="76" t="s">
        <v>342</v>
      </c>
      <c r="C131" s="370" t="s">
        <v>343</v>
      </c>
      <c r="D131" s="388">
        <v>150</v>
      </c>
      <c r="E131" s="26">
        <v>65</v>
      </c>
      <c r="F131" s="347">
        <f t="shared" si="40"/>
        <v>9750</v>
      </c>
      <c r="G131" s="389">
        <v>150</v>
      </c>
      <c r="H131" s="353"/>
      <c r="I131" s="349">
        <f t="shared" si="83"/>
        <v>150</v>
      </c>
      <c r="J131" s="350">
        <f t="shared" si="84"/>
        <v>1</v>
      </c>
      <c r="K131" s="351">
        <f t="shared" si="85"/>
        <v>9750</v>
      </c>
      <c r="L131" s="354"/>
      <c r="M131" s="352">
        <f t="shared" si="86"/>
        <v>9750</v>
      </c>
      <c r="N131" s="232"/>
    </row>
    <row r="132" spans="1:14">
      <c r="A132" s="344">
        <f t="shared" si="87"/>
        <v>18.040000000000006</v>
      </c>
      <c r="B132" s="76" t="s">
        <v>344</v>
      </c>
      <c r="C132" s="345" t="s">
        <v>45</v>
      </c>
      <c r="D132" s="388">
        <v>1</v>
      </c>
      <c r="E132" s="26">
        <v>1800</v>
      </c>
      <c r="F132" s="347">
        <f t="shared" ref="F132:F176" si="88">D132*E132</f>
        <v>1800</v>
      </c>
      <c r="G132" s="389">
        <v>1</v>
      </c>
      <c r="H132" s="353"/>
      <c r="I132" s="349">
        <f t="shared" si="83"/>
        <v>1</v>
      </c>
      <c r="J132" s="350">
        <f t="shared" si="84"/>
        <v>1</v>
      </c>
      <c r="K132" s="351">
        <f t="shared" si="85"/>
        <v>1800</v>
      </c>
      <c r="L132" s="354"/>
      <c r="M132" s="352">
        <f t="shared" si="86"/>
        <v>1800</v>
      </c>
      <c r="N132" s="232"/>
    </row>
    <row r="133" spans="1:14">
      <c r="A133" s="344">
        <f t="shared" si="87"/>
        <v>18.050000000000008</v>
      </c>
      <c r="B133" s="76" t="s">
        <v>345</v>
      </c>
      <c r="C133" s="345" t="s">
        <v>45</v>
      </c>
      <c r="D133" s="388">
        <v>1</v>
      </c>
      <c r="E133" s="26">
        <v>300</v>
      </c>
      <c r="F133" s="347">
        <f t="shared" si="88"/>
        <v>300</v>
      </c>
      <c r="G133" s="389">
        <v>1</v>
      </c>
      <c r="H133" s="353"/>
      <c r="I133" s="349">
        <f t="shared" si="83"/>
        <v>1</v>
      </c>
      <c r="J133" s="350">
        <f t="shared" si="84"/>
        <v>1</v>
      </c>
      <c r="K133" s="351">
        <f t="shared" si="85"/>
        <v>300</v>
      </c>
      <c r="L133" s="354"/>
      <c r="M133" s="352">
        <f t="shared" si="86"/>
        <v>300</v>
      </c>
      <c r="N133" s="232"/>
    </row>
    <row r="134" spans="1:14">
      <c r="A134" s="344">
        <f t="shared" si="87"/>
        <v>18.060000000000009</v>
      </c>
      <c r="B134" s="76" t="s">
        <v>346</v>
      </c>
      <c r="C134" s="345" t="s">
        <v>45</v>
      </c>
      <c r="D134" s="388">
        <v>1</v>
      </c>
      <c r="E134" s="26">
        <v>800</v>
      </c>
      <c r="F134" s="347">
        <f t="shared" si="88"/>
        <v>800</v>
      </c>
      <c r="G134" s="389">
        <v>1</v>
      </c>
      <c r="H134" s="353"/>
      <c r="I134" s="349">
        <f t="shared" si="83"/>
        <v>1</v>
      </c>
      <c r="J134" s="350">
        <f t="shared" si="84"/>
        <v>1</v>
      </c>
      <c r="K134" s="351">
        <f t="shared" si="85"/>
        <v>800</v>
      </c>
      <c r="L134" s="354"/>
      <c r="M134" s="352">
        <f t="shared" si="86"/>
        <v>800</v>
      </c>
      <c r="N134" s="232"/>
    </row>
    <row r="135" spans="1:14">
      <c r="A135" s="344">
        <f t="shared" si="87"/>
        <v>18.070000000000011</v>
      </c>
      <c r="B135" s="76" t="s">
        <v>347</v>
      </c>
      <c r="C135" s="345" t="s">
        <v>45</v>
      </c>
      <c r="D135" s="388">
        <v>10</v>
      </c>
      <c r="E135" s="26">
        <v>38</v>
      </c>
      <c r="F135" s="347">
        <f t="shared" si="88"/>
        <v>380</v>
      </c>
      <c r="G135" s="389">
        <v>10</v>
      </c>
      <c r="H135" s="353"/>
      <c r="I135" s="349">
        <f t="shared" si="83"/>
        <v>10</v>
      </c>
      <c r="J135" s="350">
        <f t="shared" si="84"/>
        <v>1</v>
      </c>
      <c r="K135" s="351">
        <f t="shared" si="85"/>
        <v>380</v>
      </c>
      <c r="L135" s="354"/>
      <c r="M135" s="352">
        <f t="shared" si="86"/>
        <v>380</v>
      </c>
      <c r="N135" s="232"/>
    </row>
    <row r="136" spans="1:14">
      <c r="A136" s="344">
        <f t="shared" si="87"/>
        <v>18.080000000000013</v>
      </c>
      <c r="B136" s="76" t="s">
        <v>348</v>
      </c>
      <c r="C136" s="345" t="s">
        <v>45</v>
      </c>
      <c r="D136" s="388">
        <v>1</v>
      </c>
      <c r="E136" s="26">
        <v>22000</v>
      </c>
      <c r="F136" s="347">
        <f t="shared" si="88"/>
        <v>22000</v>
      </c>
      <c r="G136" s="389">
        <v>1</v>
      </c>
      <c r="H136" s="353"/>
      <c r="I136" s="349">
        <f t="shared" si="83"/>
        <v>1</v>
      </c>
      <c r="J136" s="350">
        <f t="shared" si="84"/>
        <v>1</v>
      </c>
      <c r="K136" s="351">
        <f t="shared" si="85"/>
        <v>22000</v>
      </c>
      <c r="L136" s="354"/>
      <c r="M136" s="352">
        <f t="shared" si="86"/>
        <v>22000</v>
      </c>
      <c r="N136" s="232"/>
    </row>
    <row r="137" spans="1:14">
      <c r="A137" s="344">
        <f t="shared" si="87"/>
        <v>18.090000000000014</v>
      </c>
      <c r="B137" s="76" t="s">
        <v>335</v>
      </c>
      <c r="C137" s="345" t="s">
        <v>45</v>
      </c>
      <c r="D137" s="388">
        <v>1</v>
      </c>
      <c r="E137" s="26">
        <v>30000</v>
      </c>
      <c r="F137" s="347">
        <f t="shared" si="88"/>
        <v>30000</v>
      </c>
      <c r="G137" s="389">
        <v>1</v>
      </c>
      <c r="H137" s="353"/>
      <c r="I137" s="349">
        <f t="shared" si="83"/>
        <v>1</v>
      </c>
      <c r="J137" s="350">
        <f t="shared" si="84"/>
        <v>1</v>
      </c>
      <c r="K137" s="351">
        <f t="shared" si="85"/>
        <v>30000</v>
      </c>
      <c r="L137" s="354"/>
      <c r="M137" s="352">
        <f t="shared" si="86"/>
        <v>30000</v>
      </c>
      <c r="N137" s="232"/>
    </row>
    <row r="138" spans="1:14">
      <c r="A138" s="344">
        <f t="shared" si="87"/>
        <v>18.100000000000016</v>
      </c>
      <c r="B138" s="76" t="s">
        <v>336</v>
      </c>
      <c r="C138" s="345" t="s">
        <v>45</v>
      </c>
      <c r="D138" s="388">
        <v>1</v>
      </c>
      <c r="E138" s="26">
        <v>45000</v>
      </c>
      <c r="F138" s="347">
        <f t="shared" si="88"/>
        <v>45000</v>
      </c>
      <c r="G138" s="389">
        <v>1</v>
      </c>
      <c r="H138" s="353"/>
      <c r="I138" s="349">
        <f t="shared" si="83"/>
        <v>1</v>
      </c>
      <c r="J138" s="350">
        <f t="shared" si="84"/>
        <v>1</v>
      </c>
      <c r="K138" s="351">
        <f t="shared" si="85"/>
        <v>45000</v>
      </c>
      <c r="L138" s="354"/>
      <c r="M138" s="352">
        <f t="shared" si="86"/>
        <v>45000</v>
      </c>
      <c r="N138" s="232"/>
    </row>
    <row r="139" spans="1:14">
      <c r="A139" s="344">
        <f t="shared" si="87"/>
        <v>18.110000000000017</v>
      </c>
      <c r="B139" s="76" t="s">
        <v>349</v>
      </c>
      <c r="C139" s="345" t="s">
        <v>45</v>
      </c>
      <c r="D139" s="388">
        <v>1</v>
      </c>
      <c r="E139" s="26">
        <v>14500</v>
      </c>
      <c r="F139" s="347">
        <f t="shared" si="88"/>
        <v>14500</v>
      </c>
      <c r="G139" s="389">
        <v>1</v>
      </c>
      <c r="H139" s="353"/>
      <c r="I139" s="349">
        <f t="shared" si="83"/>
        <v>1</v>
      </c>
      <c r="J139" s="350">
        <f t="shared" si="84"/>
        <v>1</v>
      </c>
      <c r="K139" s="351">
        <f t="shared" si="85"/>
        <v>14500</v>
      </c>
      <c r="L139" s="354"/>
      <c r="M139" s="352">
        <f t="shared" si="86"/>
        <v>14500</v>
      </c>
      <c r="N139" s="232"/>
    </row>
    <row r="140" spans="1:14">
      <c r="A140" s="344">
        <f t="shared" si="87"/>
        <v>18.120000000000019</v>
      </c>
      <c r="B140" s="76" t="s">
        <v>350</v>
      </c>
      <c r="C140" s="345" t="s">
        <v>45</v>
      </c>
      <c r="D140" s="388">
        <v>2</v>
      </c>
      <c r="E140" s="26">
        <v>710</v>
      </c>
      <c r="F140" s="347">
        <f t="shared" si="88"/>
        <v>1420</v>
      </c>
      <c r="G140" s="389">
        <v>2</v>
      </c>
      <c r="H140" s="353"/>
      <c r="I140" s="349">
        <f t="shared" si="83"/>
        <v>2</v>
      </c>
      <c r="J140" s="350">
        <f t="shared" si="84"/>
        <v>1</v>
      </c>
      <c r="K140" s="351">
        <f t="shared" si="85"/>
        <v>1420</v>
      </c>
      <c r="L140" s="354"/>
      <c r="M140" s="352">
        <f t="shared" si="86"/>
        <v>1420</v>
      </c>
      <c r="N140" s="232"/>
    </row>
    <row r="141" spans="1:14">
      <c r="A141" s="344">
        <f t="shared" si="87"/>
        <v>18.13000000000002</v>
      </c>
      <c r="B141" s="68" t="s">
        <v>351</v>
      </c>
      <c r="C141" s="355"/>
      <c r="D141" s="346"/>
      <c r="E141" s="355"/>
      <c r="F141" s="356">
        <f>SUM(F129:F140)</f>
        <v>127180</v>
      </c>
      <c r="G141" s="353"/>
      <c r="H141" s="353"/>
      <c r="I141" s="353"/>
      <c r="J141" s="353"/>
      <c r="K141" s="357">
        <f>SUM(K129:K140)</f>
        <v>127180</v>
      </c>
      <c r="L141" s="360"/>
      <c r="M141" s="359">
        <f t="shared" si="86"/>
        <v>127180</v>
      </c>
      <c r="N141" s="232"/>
    </row>
    <row r="142" spans="1:14" ht="24">
      <c r="A142" s="336">
        <v>19</v>
      </c>
      <c r="B142" s="390" t="s">
        <v>352</v>
      </c>
      <c r="C142" s="26"/>
      <c r="D142" s="391"/>
      <c r="E142" s="355"/>
      <c r="F142" s="347"/>
      <c r="G142" s="353"/>
      <c r="H142" s="353"/>
      <c r="I142" s="353"/>
      <c r="J142" s="353"/>
      <c r="K142" s="341"/>
      <c r="L142" s="360"/>
      <c r="M142" s="352"/>
      <c r="N142" s="232"/>
    </row>
    <row r="143" spans="1:14">
      <c r="A143" s="344">
        <f>A142+0.01</f>
        <v>19.010000000000002</v>
      </c>
      <c r="B143" s="76" t="s">
        <v>353</v>
      </c>
      <c r="C143" s="345" t="s">
        <v>45</v>
      </c>
      <c r="D143" s="387">
        <v>2</v>
      </c>
      <c r="E143" s="26">
        <v>120340</v>
      </c>
      <c r="F143" s="347">
        <f t="shared" si="88"/>
        <v>240680</v>
      </c>
      <c r="G143" s="392">
        <v>2</v>
      </c>
      <c r="H143" s="353"/>
      <c r="I143" s="349">
        <f t="shared" ref="I143:I146" si="89">G143+H143</f>
        <v>2</v>
      </c>
      <c r="J143" s="350">
        <f t="shared" ref="J143:J146" si="90">I143/D143</f>
        <v>1</v>
      </c>
      <c r="K143" s="351">
        <f t="shared" ref="K143:K146" si="91">G143*E143</f>
        <v>240680</v>
      </c>
      <c r="L143" s="354"/>
      <c r="M143" s="352">
        <f t="shared" ref="M143:M147" si="92">K143+L143</f>
        <v>240680</v>
      </c>
      <c r="N143" s="232"/>
    </row>
    <row r="144" spans="1:14">
      <c r="A144" s="344">
        <f t="shared" ref="A144:A147" si="93">A143+0.01</f>
        <v>19.020000000000003</v>
      </c>
      <c r="B144" s="76" t="s">
        <v>342</v>
      </c>
      <c r="C144" s="370" t="s">
        <v>343</v>
      </c>
      <c r="D144" s="387">
        <v>40</v>
      </c>
      <c r="E144" s="26">
        <v>65</v>
      </c>
      <c r="F144" s="347">
        <f t="shared" si="88"/>
        <v>2600</v>
      </c>
      <c r="G144" s="392">
        <v>40</v>
      </c>
      <c r="H144" s="353"/>
      <c r="I144" s="349">
        <f t="shared" si="89"/>
        <v>40</v>
      </c>
      <c r="J144" s="350">
        <f t="shared" si="90"/>
        <v>1</v>
      </c>
      <c r="K144" s="351">
        <f t="shared" si="91"/>
        <v>2600</v>
      </c>
      <c r="L144" s="354"/>
      <c r="M144" s="352">
        <f t="shared" si="92"/>
        <v>2600</v>
      </c>
      <c r="N144" s="232"/>
    </row>
    <row r="145" spans="1:14">
      <c r="A145" s="344">
        <f t="shared" si="93"/>
        <v>19.030000000000005</v>
      </c>
      <c r="B145" s="76" t="s">
        <v>335</v>
      </c>
      <c r="C145" s="345" t="s">
        <v>45</v>
      </c>
      <c r="D145" s="387">
        <v>1</v>
      </c>
      <c r="E145" s="26">
        <v>10000</v>
      </c>
      <c r="F145" s="347">
        <f t="shared" si="88"/>
        <v>10000</v>
      </c>
      <c r="G145" s="392">
        <v>1</v>
      </c>
      <c r="H145" s="353"/>
      <c r="I145" s="349">
        <f t="shared" si="89"/>
        <v>1</v>
      </c>
      <c r="J145" s="350">
        <f t="shared" si="90"/>
        <v>1</v>
      </c>
      <c r="K145" s="351">
        <f t="shared" si="91"/>
        <v>10000</v>
      </c>
      <c r="L145" s="354"/>
      <c r="M145" s="352">
        <f t="shared" si="92"/>
        <v>10000</v>
      </c>
      <c r="N145" s="232"/>
    </row>
    <row r="146" spans="1:14">
      <c r="A146" s="344">
        <f t="shared" si="93"/>
        <v>19.040000000000006</v>
      </c>
      <c r="B146" s="76" t="s">
        <v>336</v>
      </c>
      <c r="C146" s="345" t="s">
        <v>45</v>
      </c>
      <c r="D146" s="393">
        <v>1</v>
      </c>
      <c r="E146" s="26">
        <v>25000</v>
      </c>
      <c r="F146" s="347">
        <f t="shared" si="88"/>
        <v>25000</v>
      </c>
      <c r="G146" s="394">
        <v>1</v>
      </c>
      <c r="H146" s="353"/>
      <c r="I146" s="349">
        <f t="shared" si="89"/>
        <v>1</v>
      </c>
      <c r="J146" s="350">
        <f t="shared" si="90"/>
        <v>1</v>
      </c>
      <c r="K146" s="351">
        <f t="shared" si="91"/>
        <v>25000</v>
      </c>
      <c r="L146" s="354"/>
      <c r="M146" s="352">
        <f t="shared" si="92"/>
        <v>25000</v>
      </c>
      <c r="N146" s="232"/>
    </row>
    <row r="147" spans="1:14">
      <c r="A147" s="344">
        <f t="shared" si="93"/>
        <v>19.050000000000008</v>
      </c>
      <c r="B147" s="68" t="s">
        <v>33</v>
      </c>
      <c r="C147" s="355"/>
      <c r="D147" s="346"/>
      <c r="E147" s="355"/>
      <c r="F147" s="356">
        <f>SUM(F143:F146)</f>
        <v>278280</v>
      </c>
      <c r="G147" s="353"/>
      <c r="H147" s="353"/>
      <c r="I147" s="353"/>
      <c r="J147" s="353"/>
      <c r="K147" s="357">
        <f>SUM(K143:K146)</f>
        <v>278280</v>
      </c>
      <c r="L147" s="358"/>
      <c r="M147" s="359">
        <f t="shared" si="92"/>
        <v>278280</v>
      </c>
      <c r="N147" s="232"/>
    </row>
    <row r="148" spans="1:14" ht="24">
      <c r="A148" s="336">
        <v>20</v>
      </c>
      <c r="B148" s="372" t="s">
        <v>354</v>
      </c>
      <c r="C148" s="355"/>
      <c r="D148" s="346"/>
      <c r="E148" s="355"/>
      <c r="F148" s="347"/>
      <c r="G148" s="353"/>
      <c r="H148" s="353"/>
      <c r="I148" s="353"/>
      <c r="J148" s="353"/>
      <c r="K148" s="341"/>
      <c r="L148" s="360"/>
      <c r="M148" s="352"/>
      <c r="N148" s="232"/>
    </row>
    <row r="149" spans="1:14">
      <c r="A149" s="344">
        <f>A148+0.01</f>
        <v>20.010000000000002</v>
      </c>
      <c r="B149" s="76" t="s">
        <v>355</v>
      </c>
      <c r="C149" s="345" t="s">
        <v>343</v>
      </c>
      <c r="D149" s="387">
        <v>120</v>
      </c>
      <c r="E149" s="26">
        <v>130</v>
      </c>
      <c r="F149" s="347">
        <f t="shared" si="88"/>
        <v>15600</v>
      </c>
      <c r="G149" s="392">
        <v>120</v>
      </c>
      <c r="H149" s="353"/>
      <c r="I149" s="349">
        <f t="shared" ref="I149:I151" si="94">G149+H149</f>
        <v>120</v>
      </c>
      <c r="J149" s="350">
        <f t="shared" ref="J149:J151" si="95">I149/D149</f>
        <v>1</v>
      </c>
      <c r="K149" s="351">
        <f t="shared" ref="K149:K151" si="96">G149*E149</f>
        <v>15600</v>
      </c>
      <c r="L149" s="354"/>
      <c r="M149" s="352">
        <f t="shared" ref="M149:M151" si="97">K149+L149</f>
        <v>15600</v>
      </c>
      <c r="N149" s="232"/>
    </row>
    <row r="150" spans="1:14">
      <c r="A150" s="344">
        <f t="shared" ref="A150:A152" si="98">A149+0.01</f>
        <v>20.020000000000003</v>
      </c>
      <c r="B150" s="76" t="s">
        <v>356</v>
      </c>
      <c r="C150" s="345" t="s">
        <v>45</v>
      </c>
      <c r="D150" s="387">
        <v>1</v>
      </c>
      <c r="E150" s="26">
        <v>8000</v>
      </c>
      <c r="F150" s="347">
        <f t="shared" si="88"/>
        <v>8000</v>
      </c>
      <c r="G150" s="392">
        <v>1</v>
      </c>
      <c r="H150" s="353"/>
      <c r="I150" s="349">
        <f t="shared" si="94"/>
        <v>1</v>
      </c>
      <c r="J150" s="350">
        <f t="shared" si="95"/>
        <v>1</v>
      </c>
      <c r="K150" s="351">
        <f t="shared" si="96"/>
        <v>8000</v>
      </c>
      <c r="L150" s="354"/>
      <c r="M150" s="352">
        <f t="shared" si="97"/>
        <v>8000</v>
      </c>
      <c r="N150" s="232"/>
    </row>
    <row r="151" spans="1:14">
      <c r="A151" s="344">
        <f t="shared" si="98"/>
        <v>20.030000000000005</v>
      </c>
      <c r="B151" s="24" t="s">
        <v>357</v>
      </c>
      <c r="C151" s="345" t="s">
        <v>358</v>
      </c>
      <c r="D151" s="387">
        <v>1</v>
      </c>
      <c r="E151" s="26">
        <v>20000</v>
      </c>
      <c r="F151" s="347">
        <f t="shared" si="88"/>
        <v>20000</v>
      </c>
      <c r="G151" s="392">
        <v>1</v>
      </c>
      <c r="H151" s="353"/>
      <c r="I151" s="349">
        <f t="shared" si="94"/>
        <v>1</v>
      </c>
      <c r="J151" s="350">
        <f t="shared" si="95"/>
        <v>1</v>
      </c>
      <c r="K151" s="351">
        <f t="shared" si="96"/>
        <v>20000</v>
      </c>
      <c r="L151" s="354"/>
      <c r="M151" s="352">
        <f t="shared" si="97"/>
        <v>20000</v>
      </c>
      <c r="N151" s="232"/>
    </row>
    <row r="152" spans="1:14">
      <c r="A152" s="344">
        <f t="shared" si="98"/>
        <v>20.040000000000006</v>
      </c>
      <c r="B152" s="68" t="s">
        <v>33</v>
      </c>
      <c r="C152" s="355"/>
      <c r="D152" s="346"/>
      <c r="E152" s="355"/>
      <c r="F152" s="356">
        <f>SUM(F149:F151)</f>
        <v>43600</v>
      </c>
      <c r="G152" s="353"/>
      <c r="H152" s="353"/>
      <c r="I152" s="353"/>
      <c r="J152" s="353"/>
      <c r="K152" s="357">
        <f>SUM(K149:K151)</f>
        <v>43600</v>
      </c>
      <c r="L152" s="358"/>
      <c r="M152" s="359">
        <f>SUM(M149:M151)</f>
        <v>43600</v>
      </c>
      <c r="N152" s="232"/>
    </row>
    <row r="153" spans="1:14" ht="24">
      <c r="A153" s="336">
        <v>21</v>
      </c>
      <c r="B153" s="372" t="s">
        <v>359</v>
      </c>
      <c r="C153" s="355"/>
      <c r="D153" s="346"/>
      <c r="E153" s="355"/>
      <c r="F153" s="347"/>
      <c r="G153" s="353"/>
      <c r="H153" s="353"/>
      <c r="I153" s="353"/>
      <c r="J153" s="353"/>
      <c r="K153" s="341"/>
      <c r="L153" s="360"/>
      <c r="M153" s="352"/>
      <c r="N153" s="232"/>
    </row>
    <row r="154" spans="1:14">
      <c r="A154" s="344">
        <f>A153+0.01</f>
        <v>21.01</v>
      </c>
      <c r="B154" s="76" t="s">
        <v>360</v>
      </c>
      <c r="C154" s="345" t="s">
        <v>358</v>
      </c>
      <c r="D154" s="388">
        <v>1</v>
      </c>
      <c r="E154" s="387">
        <v>30000</v>
      </c>
      <c r="F154" s="347">
        <f t="shared" si="88"/>
        <v>30000</v>
      </c>
      <c r="G154" s="389">
        <v>1</v>
      </c>
      <c r="H154" s="353"/>
      <c r="I154" s="349">
        <f t="shared" ref="I154:I163" si="99">G154+H154</f>
        <v>1</v>
      </c>
      <c r="J154" s="350">
        <f t="shared" ref="J154:J163" si="100">I154/D154</f>
        <v>1</v>
      </c>
      <c r="K154" s="351">
        <f t="shared" ref="K154:K161" si="101">G154*E154</f>
        <v>30000</v>
      </c>
      <c r="L154" s="354"/>
      <c r="M154" s="352">
        <f t="shared" ref="M154:M164" si="102">K154+L154</f>
        <v>30000</v>
      </c>
      <c r="N154" s="232"/>
    </row>
    <row r="155" spans="1:14">
      <c r="A155" s="344">
        <f t="shared" ref="A155:A164" si="103">A154+0.01</f>
        <v>21.020000000000003</v>
      </c>
      <c r="B155" s="76" t="s">
        <v>361</v>
      </c>
      <c r="C155" s="345" t="s">
        <v>343</v>
      </c>
      <c r="D155" s="388">
        <v>30</v>
      </c>
      <c r="E155" s="388">
        <v>32</v>
      </c>
      <c r="F155" s="347">
        <f t="shared" si="88"/>
        <v>960</v>
      </c>
      <c r="G155" s="389">
        <v>30</v>
      </c>
      <c r="H155" s="353"/>
      <c r="I155" s="349">
        <f t="shared" si="99"/>
        <v>30</v>
      </c>
      <c r="J155" s="350">
        <f t="shared" si="100"/>
        <v>1</v>
      </c>
      <c r="K155" s="351">
        <f t="shared" si="101"/>
        <v>960</v>
      </c>
      <c r="L155" s="354"/>
      <c r="M155" s="352">
        <f t="shared" si="102"/>
        <v>960</v>
      </c>
      <c r="N155" s="232"/>
    </row>
    <row r="156" spans="1:14">
      <c r="A156" s="344">
        <f t="shared" si="103"/>
        <v>21.030000000000005</v>
      </c>
      <c r="B156" s="76" t="s">
        <v>362</v>
      </c>
      <c r="C156" s="345" t="s">
        <v>343</v>
      </c>
      <c r="D156" s="388">
        <v>10</v>
      </c>
      <c r="E156" s="388">
        <v>95</v>
      </c>
      <c r="F156" s="347">
        <f t="shared" si="88"/>
        <v>950</v>
      </c>
      <c r="G156" s="389">
        <v>10</v>
      </c>
      <c r="H156" s="353"/>
      <c r="I156" s="349">
        <f t="shared" si="99"/>
        <v>10</v>
      </c>
      <c r="J156" s="350">
        <f t="shared" si="100"/>
        <v>1</v>
      </c>
      <c r="K156" s="351">
        <f t="shared" si="101"/>
        <v>950</v>
      </c>
      <c r="L156" s="354"/>
      <c r="M156" s="352">
        <f t="shared" si="102"/>
        <v>950</v>
      </c>
      <c r="N156" s="232"/>
    </row>
    <row r="157" spans="1:14">
      <c r="A157" s="344">
        <f t="shared" si="103"/>
        <v>21.040000000000006</v>
      </c>
      <c r="B157" s="76" t="s">
        <v>363</v>
      </c>
      <c r="C157" s="345" t="s">
        <v>358</v>
      </c>
      <c r="D157" s="388">
        <v>1</v>
      </c>
      <c r="E157" s="388">
        <v>3500</v>
      </c>
      <c r="F157" s="347">
        <f t="shared" si="88"/>
        <v>3500</v>
      </c>
      <c r="G157" s="389">
        <v>1</v>
      </c>
      <c r="H157" s="353"/>
      <c r="I157" s="349">
        <f t="shared" si="99"/>
        <v>1</v>
      </c>
      <c r="J157" s="350">
        <f t="shared" si="100"/>
        <v>1</v>
      </c>
      <c r="K157" s="351">
        <f t="shared" si="101"/>
        <v>3500</v>
      </c>
      <c r="L157" s="354"/>
      <c r="M157" s="352">
        <f t="shared" si="102"/>
        <v>3500</v>
      </c>
      <c r="N157" s="232"/>
    </row>
    <row r="158" spans="1:14">
      <c r="A158" s="344">
        <f t="shared" si="103"/>
        <v>21.050000000000008</v>
      </c>
      <c r="B158" s="76" t="s">
        <v>364</v>
      </c>
      <c r="C158" s="345" t="s">
        <v>358</v>
      </c>
      <c r="D158" s="388">
        <v>2</v>
      </c>
      <c r="E158" s="388">
        <v>93</v>
      </c>
      <c r="F158" s="347">
        <f t="shared" si="88"/>
        <v>186</v>
      </c>
      <c r="G158" s="389">
        <v>2</v>
      </c>
      <c r="H158" s="353"/>
      <c r="I158" s="349">
        <f t="shared" si="99"/>
        <v>2</v>
      </c>
      <c r="J158" s="350">
        <f t="shared" si="100"/>
        <v>1</v>
      </c>
      <c r="K158" s="351">
        <f t="shared" si="101"/>
        <v>186</v>
      </c>
      <c r="L158" s="354"/>
      <c r="M158" s="352">
        <f t="shared" si="102"/>
        <v>186</v>
      </c>
      <c r="N158" s="232"/>
    </row>
    <row r="159" spans="1:14">
      <c r="A159" s="344">
        <f t="shared" si="103"/>
        <v>21.060000000000009</v>
      </c>
      <c r="B159" s="76" t="s">
        <v>356</v>
      </c>
      <c r="C159" s="345" t="s">
        <v>358</v>
      </c>
      <c r="D159" s="388">
        <v>1</v>
      </c>
      <c r="E159" s="388">
        <v>7500</v>
      </c>
      <c r="F159" s="347">
        <f t="shared" si="88"/>
        <v>7500</v>
      </c>
      <c r="G159" s="389">
        <v>1</v>
      </c>
      <c r="H159" s="353"/>
      <c r="I159" s="349">
        <f t="shared" si="99"/>
        <v>1</v>
      </c>
      <c r="J159" s="350">
        <f t="shared" si="100"/>
        <v>1</v>
      </c>
      <c r="K159" s="351">
        <f t="shared" si="101"/>
        <v>7500</v>
      </c>
      <c r="L159" s="354"/>
      <c r="M159" s="352">
        <f t="shared" si="102"/>
        <v>7500</v>
      </c>
      <c r="N159" s="232"/>
    </row>
    <row r="160" spans="1:14">
      <c r="A160" s="344">
        <f t="shared" si="103"/>
        <v>21.070000000000011</v>
      </c>
      <c r="B160" s="76" t="s">
        <v>365</v>
      </c>
      <c r="C160" s="345" t="s">
        <v>358</v>
      </c>
      <c r="D160" s="388">
        <v>1</v>
      </c>
      <c r="E160" s="388">
        <v>22000</v>
      </c>
      <c r="F160" s="347">
        <f t="shared" si="88"/>
        <v>22000</v>
      </c>
      <c r="G160" s="389">
        <v>1</v>
      </c>
      <c r="H160" s="353"/>
      <c r="I160" s="349">
        <f t="shared" si="99"/>
        <v>1</v>
      </c>
      <c r="J160" s="350">
        <f t="shared" si="100"/>
        <v>1</v>
      </c>
      <c r="K160" s="351">
        <f t="shared" si="101"/>
        <v>22000</v>
      </c>
      <c r="L160" s="354"/>
      <c r="M160" s="352">
        <f t="shared" si="102"/>
        <v>22000</v>
      </c>
      <c r="N160" s="232"/>
    </row>
    <row r="161" spans="1:14" ht="24">
      <c r="A161" s="344">
        <f t="shared" si="103"/>
        <v>21.080000000000013</v>
      </c>
      <c r="B161" s="72" t="s">
        <v>366</v>
      </c>
      <c r="C161" s="345" t="s">
        <v>358</v>
      </c>
      <c r="D161" s="388">
        <v>1</v>
      </c>
      <c r="E161" s="388">
        <v>102300</v>
      </c>
      <c r="F161" s="347">
        <f t="shared" si="88"/>
        <v>102300</v>
      </c>
      <c r="G161" s="389">
        <v>1</v>
      </c>
      <c r="H161" s="353"/>
      <c r="I161" s="349">
        <f t="shared" si="99"/>
        <v>1</v>
      </c>
      <c r="J161" s="350">
        <f t="shared" si="100"/>
        <v>1</v>
      </c>
      <c r="K161" s="351">
        <f t="shared" si="101"/>
        <v>102300</v>
      </c>
      <c r="L161" s="354"/>
      <c r="M161" s="352">
        <f t="shared" si="102"/>
        <v>102300</v>
      </c>
      <c r="N161" s="232"/>
    </row>
    <row r="162" spans="1:14" ht="24">
      <c r="A162" s="344">
        <f t="shared" si="103"/>
        <v>21.090000000000014</v>
      </c>
      <c r="B162" s="72" t="s">
        <v>301</v>
      </c>
      <c r="C162" s="368" t="s">
        <v>45</v>
      </c>
      <c r="D162" s="369">
        <v>1</v>
      </c>
      <c r="E162" s="387">
        <v>9500</v>
      </c>
      <c r="F162" s="347">
        <f t="shared" si="88"/>
        <v>9500</v>
      </c>
      <c r="G162" s="371"/>
      <c r="H162" s="371">
        <v>1</v>
      </c>
      <c r="I162" s="349">
        <f t="shared" si="99"/>
        <v>1</v>
      </c>
      <c r="J162" s="350">
        <f t="shared" si="100"/>
        <v>1</v>
      </c>
      <c r="K162" s="341"/>
      <c r="L162" s="351">
        <f>H162*E162</f>
        <v>9500</v>
      </c>
      <c r="M162" s="352">
        <f t="shared" si="102"/>
        <v>9500</v>
      </c>
      <c r="N162" s="232"/>
    </row>
    <row r="163" spans="1:14">
      <c r="A163" s="344">
        <f t="shared" si="103"/>
        <v>21.100000000000016</v>
      </c>
      <c r="B163" s="76" t="s">
        <v>367</v>
      </c>
      <c r="C163" s="368" t="s">
        <v>45</v>
      </c>
      <c r="D163" s="369">
        <v>1</v>
      </c>
      <c r="E163" s="370">
        <v>8500</v>
      </c>
      <c r="F163" s="347">
        <f t="shared" si="88"/>
        <v>8500</v>
      </c>
      <c r="G163" s="371"/>
      <c r="H163" s="371">
        <v>1</v>
      </c>
      <c r="I163" s="349">
        <f t="shared" si="99"/>
        <v>1</v>
      </c>
      <c r="J163" s="350">
        <f t="shared" si="100"/>
        <v>1</v>
      </c>
      <c r="K163" s="341"/>
      <c r="L163" s="351">
        <f>H163*E163</f>
        <v>8500</v>
      </c>
      <c r="M163" s="352">
        <f t="shared" si="102"/>
        <v>8500</v>
      </c>
      <c r="N163" s="232"/>
    </row>
    <row r="164" spans="1:14">
      <c r="A164" s="344">
        <f t="shared" si="103"/>
        <v>21.110000000000017</v>
      </c>
      <c r="B164" s="68" t="s">
        <v>33</v>
      </c>
      <c r="C164" s="355"/>
      <c r="D164" s="346"/>
      <c r="E164" s="355"/>
      <c r="F164" s="356">
        <f>SUM(F154:F163)</f>
        <v>185396</v>
      </c>
      <c r="G164" s="353"/>
      <c r="H164" s="353"/>
      <c r="I164" s="353"/>
      <c r="J164" s="353"/>
      <c r="K164" s="357">
        <f>SUM(K154:K163)</f>
        <v>167396</v>
      </c>
      <c r="L164" s="358">
        <f>SUM(L154:L163)</f>
        <v>18000</v>
      </c>
      <c r="M164" s="359">
        <f t="shared" si="102"/>
        <v>185396</v>
      </c>
      <c r="N164" s="232"/>
    </row>
    <row r="165" spans="1:14">
      <c r="A165" s="336">
        <v>22</v>
      </c>
      <c r="B165" s="23" t="s">
        <v>368</v>
      </c>
      <c r="C165" s="355"/>
      <c r="D165" s="346"/>
      <c r="E165" s="355"/>
      <c r="F165" s="347"/>
      <c r="G165" s="353"/>
      <c r="H165" s="353"/>
      <c r="I165" s="353"/>
      <c r="J165" s="353"/>
      <c r="K165" s="341"/>
      <c r="L165" s="342"/>
      <c r="M165" s="343"/>
      <c r="N165" s="232"/>
    </row>
    <row r="166" spans="1:14">
      <c r="A166" s="344">
        <f>A165+0.01</f>
        <v>22.01</v>
      </c>
      <c r="B166" s="68" t="s">
        <v>28</v>
      </c>
      <c r="C166" s="355"/>
      <c r="D166" s="346"/>
      <c r="E166" s="355"/>
      <c r="F166" s="347"/>
      <c r="G166" s="353"/>
      <c r="H166" s="353"/>
      <c r="I166" s="353"/>
      <c r="J166" s="353"/>
      <c r="K166" s="341"/>
      <c r="L166" s="342"/>
      <c r="M166" s="343"/>
      <c r="N166" s="232"/>
    </row>
    <row r="167" spans="1:14">
      <c r="A167" s="344">
        <f t="shared" ref="A167:A168" si="104">A166+0.01</f>
        <v>22.020000000000003</v>
      </c>
      <c r="B167" s="76" t="s">
        <v>311</v>
      </c>
      <c r="C167" s="361" t="s">
        <v>253</v>
      </c>
      <c r="D167" s="388">
        <v>0.5</v>
      </c>
      <c r="E167" s="26">
        <v>40000</v>
      </c>
      <c r="F167" s="347">
        <f t="shared" si="88"/>
        <v>20000</v>
      </c>
      <c r="G167" s="353"/>
      <c r="H167" s="389">
        <v>0.5</v>
      </c>
      <c r="I167" s="349">
        <f t="shared" ref="I167" si="105">G167+H167</f>
        <v>0.5</v>
      </c>
      <c r="J167" s="350">
        <f t="shared" ref="J167" si="106">I167/D167</f>
        <v>1</v>
      </c>
      <c r="K167" s="341"/>
      <c r="L167" s="351">
        <f>H167*E167</f>
        <v>20000</v>
      </c>
      <c r="M167" s="343">
        <f t="shared" ref="M167:M168" si="107">K167+L167</f>
        <v>20000</v>
      </c>
      <c r="N167" s="232"/>
    </row>
    <row r="168" spans="1:14">
      <c r="A168" s="344">
        <f t="shared" si="104"/>
        <v>22.030000000000005</v>
      </c>
      <c r="B168" s="23" t="s">
        <v>257</v>
      </c>
      <c r="C168" s="361"/>
      <c r="D168" s="395"/>
      <c r="E168" s="26"/>
      <c r="F168" s="356">
        <f>SUM(F167)</f>
        <v>20000</v>
      </c>
      <c r="G168" s="353"/>
      <c r="H168" s="396"/>
      <c r="I168" s="349"/>
      <c r="J168" s="350"/>
      <c r="K168" s="341"/>
      <c r="L168" s="397">
        <f>SUM(L167)</f>
        <v>20000</v>
      </c>
      <c r="M168" s="398">
        <f t="shared" si="107"/>
        <v>20000</v>
      </c>
      <c r="N168" s="232"/>
    </row>
    <row r="169" spans="1:14">
      <c r="A169" s="336">
        <v>23</v>
      </c>
      <c r="B169" s="68" t="s">
        <v>169</v>
      </c>
      <c r="C169" s="355"/>
      <c r="D169" s="346"/>
      <c r="E169" s="355"/>
      <c r="F169" s="347"/>
      <c r="G169" s="353"/>
      <c r="H169" s="384"/>
      <c r="I169" s="349"/>
      <c r="J169" s="350"/>
      <c r="K169" s="341"/>
      <c r="L169" s="399"/>
      <c r="M169" s="343"/>
      <c r="N169" s="232"/>
    </row>
    <row r="170" spans="1:14">
      <c r="A170" s="344">
        <f>A169+0.01</f>
        <v>23.01</v>
      </c>
      <c r="B170" s="76" t="s">
        <v>35</v>
      </c>
      <c r="C170" s="345" t="s">
        <v>36</v>
      </c>
      <c r="D170" s="393">
        <f>500*0.6*1.15</f>
        <v>345</v>
      </c>
      <c r="E170" s="26">
        <v>214</v>
      </c>
      <c r="F170" s="347">
        <f t="shared" si="88"/>
        <v>73830</v>
      </c>
      <c r="G170" s="353"/>
      <c r="H170" s="394">
        <f>D170</f>
        <v>345</v>
      </c>
      <c r="I170" s="349">
        <f t="shared" ref="I170:I173" si="108">G170+H170</f>
        <v>345</v>
      </c>
      <c r="J170" s="350">
        <f t="shared" ref="J170:J173" si="109">I170/D170</f>
        <v>1</v>
      </c>
      <c r="K170" s="341"/>
      <c r="L170" s="351">
        <f>H170*E170</f>
        <v>73830</v>
      </c>
      <c r="M170" s="343">
        <f t="shared" ref="M170:M174" si="110">K170+L170</f>
        <v>73830</v>
      </c>
      <c r="N170" s="232"/>
    </row>
    <row r="171" spans="1:14">
      <c r="A171" s="344">
        <f t="shared" ref="A171:A174" si="111">A170+0.01</f>
        <v>23.020000000000003</v>
      </c>
      <c r="B171" s="76" t="s">
        <v>37</v>
      </c>
      <c r="C171" s="345" t="s">
        <v>36</v>
      </c>
      <c r="D171" s="393">
        <f>500*0.6*0.1</f>
        <v>30</v>
      </c>
      <c r="E171" s="26">
        <v>2715.82</v>
      </c>
      <c r="F171" s="347">
        <f t="shared" si="88"/>
        <v>81474.600000000006</v>
      </c>
      <c r="G171" s="353"/>
      <c r="H171" s="394">
        <f t="shared" ref="H171:H173" si="112">D171</f>
        <v>30</v>
      </c>
      <c r="I171" s="349">
        <f t="shared" si="108"/>
        <v>30</v>
      </c>
      <c r="J171" s="350">
        <f t="shared" si="109"/>
        <v>1</v>
      </c>
      <c r="K171" s="341"/>
      <c r="L171" s="351">
        <f>H171*E171</f>
        <v>81474.600000000006</v>
      </c>
      <c r="M171" s="343">
        <f t="shared" si="110"/>
        <v>81474.600000000006</v>
      </c>
      <c r="N171" s="232"/>
    </row>
    <row r="172" spans="1:14">
      <c r="A172" s="344">
        <f t="shared" si="111"/>
        <v>23.030000000000005</v>
      </c>
      <c r="B172" s="76" t="s">
        <v>369</v>
      </c>
      <c r="C172" s="345" t="s">
        <v>36</v>
      </c>
      <c r="D172" s="393">
        <f>D170*1*1.25</f>
        <v>431.25</v>
      </c>
      <c r="E172" s="26">
        <v>545</v>
      </c>
      <c r="F172" s="347">
        <f t="shared" si="88"/>
        <v>235031.25</v>
      </c>
      <c r="G172" s="353"/>
      <c r="H172" s="394">
        <f t="shared" si="112"/>
        <v>431.25</v>
      </c>
      <c r="I172" s="349">
        <f t="shared" si="108"/>
        <v>431.25</v>
      </c>
      <c r="J172" s="350">
        <f t="shared" si="109"/>
        <v>1</v>
      </c>
      <c r="K172" s="341"/>
      <c r="L172" s="351">
        <f>H172*E172</f>
        <v>235031.25</v>
      </c>
      <c r="M172" s="343">
        <f t="shared" si="110"/>
        <v>235031.25</v>
      </c>
      <c r="N172" s="232"/>
    </row>
    <row r="173" spans="1:14">
      <c r="A173" s="344">
        <f t="shared" si="111"/>
        <v>23.040000000000006</v>
      </c>
      <c r="B173" s="76" t="s">
        <v>39</v>
      </c>
      <c r="C173" s="345" t="s">
        <v>36</v>
      </c>
      <c r="D173" s="393">
        <v>86.25</v>
      </c>
      <c r="E173" s="26">
        <v>380</v>
      </c>
      <c r="F173" s="347">
        <f t="shared" si="88"/>
        <v>32775</v>
      </c>
      <c r="G173" s="353"/>
      <c r="H173" s="394">
        <f t="shared" si="112"/>
        <v>86.25</v>
      </c>
      <c r="I173" s="349">
        <f t="shared" si="108"/>
        <v>86.25</v>
      </c>
      <c r="J173" s="350">
        <f t="shared" si="109"/>
        <v>1</v>
      </c>
      <c r="K173" s="341"/>
      <c r="L173" s="351">
        <f>H173*E173</f>
        <v>32775</v>
      </c>
      <c r="M173" s="343">
        <f t="shared" si="110"/>
        <v>32775</v>
      </c>
      <c r="N173" s="232"/>
    </row>
    <row r="174" spans="1:14">
      <c r="A174" s="344">
        <f t="shared" si="111"/>
        <v>23.050000000000008</v>
      </c>
      <c r="B174" s="23" t="s">
        <v>257</v>
      </c>
      <c r="C174" s="368"/>
      <c r="D174" s="400"/>
      <c r="E174" s="80"/>
      <c r="F174" s="356">
        <f>SUM(F170:F173)</f>
        <v>423110.85</v>
      </c>
      <c r="G174" s="353"/>
      <c r="H174" s="353"/>
      <c r="I174" s="353"/>
      <c r="J174" s="353"/>
      <c r="K174" s="341"/>
      <c r="L174" s="401">
        <f>SUM(L170:L173)</f>
        <v>423110.85</v>
      </c>
      <c r="M174" s="398">
        <f t="shared" si="110"/>
        <v>423110.85</v>
      </c>
      <c r="N174" s="232"/>
    </row>
    <row r="175" spans="1:14">
      <c r="A175" s="336">
        <v>24</v>
      </c>
      <c r="B175" s="402" t="s">
        <v>40</v>
      </c>
      <c r="C175" s="355"/>
      <c r="D175" s="346"/>
      <c r="E175" s="355"/>
      <c r="F175" s="347"/>
      <c r="G175" s="353"/>
      <c r="H175" s="353"/>
      <c r="I175" s="353"/>
      <c r="J175" s="353"/>
      <c r="K175" s="341"/>
      <c r="L175" s="342"/>
      <c r="M175" s="343"/>
      <c r="N175" s="232"/>
    </row>
    <row r="176" spans="1:14" ht="24">
      <c r="A176" s="344">
        <f>A175+0.01</f>
        <v>24.01</v>
      </c>
      <c r="B176" s="72" t="s">
        <v>278</v>
      </c>
      <c r="C176" s="361" t="s">
        <v>30</v>
      </c>
      <c r="D176" s="346">
        <v>525</v>
      </c>
      <c r="E176" s="370">
        <v>628.13</v>
      </c>
      <c r="F176" s="347">
        <f t="shared" si="88"/>
        <v>329768.25</v>
      </c>
      <c r="G176" s="353"/>
      <c r="H176" s="394">
        <f t="shared" ref="H176" si="113">D176</f>
        <v>525</v>
      </c>
      <c r="I176" s="349">
        <f t="shared" ref="I176" si="114">G176+H176</f>
        <v>525</v>
      </c>
      <c r="J176" s="350">
        <f t="shared" ref="J176" si="115">I176/D176</f>
        <v>1</v>
      </c>
      <c r="K176" s="341"/>
      <c r="L176" s="351">
        <f>H176*E176</f>
        <v>329768.25</v>
      </c>
      <c r="M176" s="343">
        <f t="shared" ref="M176:M177" si="116">K176+L176</f>
        <v>329768.25</v>
      </c>
      <c r="N176" s="232"/>
    </row>
    <row r="177" spans="1:14">
      <c r="A177" s="344">
        <f>A176+0.01</f>
        <v>24.020000000000003</v>
      </c>
      <c r="B177" s="23" t="s">
        <v>257</v>
      </c>
      <c r="C177" s="355"/>
      <c r="D177" s="346"/>
      <c r="E177" s="355"/>
      <c r="F177" s="356">
        <f>SUM(F176)</f>
        <v>329768.25</v>
      </c>
      <c r="G177" s="353"/>
      <c r="H177" s="353"/>
      <c r="I177" s="353"/>
      <c r="J177" s="353"/>
      <c r="K177" s="341"/>
      <c r="L177" s="401">
        <f>SUM(L176)</f>
        <v>329768.25</v>
      </c>
      <c r="M177" s="398">
        <f t="shared" si="116"/>
        <v>329768.25</v>
      </c>
      <c r="N177" s="232"/>
    </row>
    <row r="178" spans="1:14">
      <c r="A178" s="336">
        <v>25</v>
      </c>
      <c r="B178" s="23" t="s">
        <v>370</v>
      </c>
      <c r="C178" s="355"/>
      <c r="D178" s="346"/>
      <c r="E178" s="355"/>
      <c r="F178" s="347"/>
      <c r="G178" s="353"/>
      <c r="H178" s="353"/>
      <c r="I178" s="353"/>
      <c r="J178" s="353"/>
      <c r="K178" s="341"/>
      <c r="L178" s="342"/>
      <c r="M178" s="343"/>
      <c r="N178" s="232"/>
    </row>
    <row r="179" spans="1:14" ht="36.75">
      <c r="A179" s="344">
        <f>A178+0.01</f>
        <v>25.01</v>
      </c>
      <c r="B179" s="66" t="s">
        <v>371</v>
      </c>
      <c r="C179" s="345" t="s">
        <v>358</v>
      </c>
      <c r="D179" s="346">
        <v>1</v>
      </c>
      <c r="E179" s="346">
        <v>354000</v>
      </c>
      <c r="F179" s="347">
        <f t="shared" ref="F179:F181" si="117">D179*E179</f>
        <v>354000</v>
      </c>
      <c r="G179" s="353"/>
      <c r="H179" s="394">
        <f t="shared" ref="H179:H181" si="118">D179</f>
        <v>1</v>
      </c>
      <c r="I179" s="349">
        <f t="shared" ref="I179:I181" si="119">G179+H179</f>
        <v>1</v>
      </c>
      <c r="J179" s="350">
        <f t="shared" ref="J179:J181" si="120">I179/D179</f>
        <v>1</v>
      </c>
      <c r="K179" s="341"/>
      <c r="L179" s="351">
        <f>H179*E179</f>
        <v>354000</v>
      </c>
      <c r="M179" s="343">
        <f t="shared" ref="M179:M181" si="121">K179+L179</f>
        <v>354000</v>
      </c>
      <c r="N179" s="232"/>
    </row>
    <row r="180" spans="1:14">
      <c r="A180" s="344">
        <f t="shared" ref="A180:A182" si="122">A179+0.01</f>
        <v>25.020000000000003</v>
      </c>
      <c r="B180" s="355" t="s">
        <v>372</v>
      </c>
      <c r="C180" s="345" t="s">
        <v>358</v>
      </c>
      <c r="D180" s="346">
        <v>1</v>
      </c>
      <c r="E180" s="346">
        <v>41300</v>
      </c>
      <c r="F180" s="347">
        <f t="shared" si="117"/>
        <v>41300</v>
      </c>
      <c r="G180" s="353"/>
      <c r="H180" s="394">
        <f t="shared" si="118"/>
        <v>1</v>
      </c>
      <c r="I180" s="349">
        <f t="shared" si="119"/>
        <v>1</v>
      </c>
      <c r="J180" s="350">
        <f t="shared" si="120"/>
        <v>1</v>
      </c>
      <c r="K180" s="341"/>
      <c r="L180" s="351">
        <f>H180*E180</f>
        <v>41300</v>
      </c>
      <c r="M180" s="343">
        <f t="shared" si="121"/>
        <v>41300</v>
      </c>
      <c r="N180" s="232"/>
    </row>
    <row r="181" spans="1:14">
      <c r="A181" s="344">
        <f t="shared" si="122"/>
        <v>25.030000000000005</v>
      </c>
      <c r="B181" s="355" t="s">
        <v>373</v>
      </c>
      <c r="C181" s="345" t="s">
        <v>358</v>
      </c>
      <c r="D181" s="346">
        <v>1</v>
      </c>
      <c r="E181" s="346">
        <v>61200</v>
      </c>
      <c r="F181" s="347">
        <f t="shared" si="117"/>
        <v>61200</v>
      </c>
      <c r="G181" s="353"/>
      <c r="H181" s="394">
        <f t="shared" si="118"/>
        <v>1</v>
      </c>
      <c r="I181" s="349">
        <f t="shared" si="119"/>
        <v>1</v>
      </c>
      <c r="J181" s="350">
        <f t="shared" si="120"/>
        <v>1</v>
      </c>
      <c r="K181" s="341"/>
      <c r="L181" s="351">
        <f>H181*E181</f>
        <v>61200</v>
      </c>
      <c r="M181" s="343">
        <f t="shared" si="121"/>
        <v>61200</v>
      </c>
      <c r="N181" s="232"/>
    </row>
    <row r="182" spans="1:14">
      <c r="A182" s="344">
        <f t="shared" si="122"/>
        <v>25.040000000000006</v>
      </c>
      <c r="B182" s="23" t="s">
        <v>257</v>
      </c>
      <c r="C182" s="346"/>
      <c r="D182" s="346"/>
      <c r="E182" s="346"/>
      <c r="F182" s="403">
        <f>SUM(F179:F181)</f>
        <v>456500</v>
      </c>
      <c r="G182" s="353"/>
      <c r="H182" s="353"/>
      <c r="I182" s="353"/>
      <c r="J182" s="353"/>
      <c r="K182" s="341"/>
      <c r="L182" s="401">
        <f>SUM(L179:L181)</f>
        <v>456500</v>
      </c>
      <c r="M182" s="398">
        <f>SUM(M179:M181)</f>
        <v>456500</v>
      </c>
      <c r="N182" s="232"/>
    </row>
    <row r="183" spans="1:14">
      <c r="B183" s="404" t="s">
        <v>374</v>
      </c>
      <c r="F183" s="405">
        <f>F182+F177+F174+F168+F164+F152+F147+F141+F126+F112+F109+F101+F94+F89+F84+F76+F71+F66+F56+F53+F49+F42+F37+F21+F17</f>
        <v>15751950.544656001</v>
      </c>
      <c r="G183" s="405"/>
      <c r="H183" s="405"/>
      <c r="I183" s="405"/>
      <c r="J183" s="405"/>
      <c r="K183" s="405">
        <f>K164++K152+K147+K141+K126+K101+K94+K84+K76+K71+K66+K56+K53+K49+K42+K37+K17+K89+K21</f>
        <v>13350882.77375</v>
      </c>
      <c r="L183" s="405">
        <f>L182+L177+L174+L168+L164+L112+L109+L101+L94+L84+L76+L71+L66+L56+L53+L42++L21+L17+L37+L49</f>
        <v>2188326.1</v>
      </c>
      <c r="M183" s="405">
        <f>K183+L183</f>
        <v>15539208.873749999</v>
      </c>
      <c r="N183" s="232"/>
    </row>
    <row r="184" spans="1:14">
      <c r="B184" s="404"/>
      <c r="F184" s="405"/>
      <c r="G184" s="405"/>
      <c r="H184" s="405"/>
      <c r="I184" s="405"/>
      <c r="J184" s="405"/>
      <c r="K184" s="405"/>
      <c r="L184" s="405"/>
      <c r="M184" s="405"/>
      <c r="N184" s="232"/>
    </row>
    <row r="185" spans="1:14">
      <c r="A185" s="188"/>
      <c r="B185" s="196" t="s">
        <v>211</v>
      </c>
      <c r="E185" s="406"/>
      <c r="F185" s="232"/>
      <c r="G185" s="232"/>
      <c r="H185" s="232"/>
      <c r="I185" s="232"/>
      <c r="J185" s="232"/>
      <c r="K185" s="407"/>
      <c r="L185" s="232"/>
      <c r="M185" s="232"/>
      <c r="N185" s="232"/>
    </row>
    <row r="186" spans="1:14" ht="15.75">
      <c r="A186" s="188"/>
      <c r="B186" s="408" t="s">
        <v>375</v>
      </c>
      <c r="C186" s="408"/>
      <c r="D186" s="408"/>
      <c r="F186" s="232"/>
      <c r="G186" s="232"/>
      <c r="H186" s="232"/>
      <c r="I186" s="232"/>
      <c r="J186" s="232"/>
      <c r="K186" s="409"/>
      <c r="L186" s="409"/>
      <c r="M186" s="409"/>
      <c r="N186" s="232"/>
    </row>
    <row r="187" spans="1:14" ht="15.75">
      <c r="A187" s="188"/>
      <c r="B187" s="408"/>
      <c r="C187" s="408"/>
      <c r="D187" s="408"/>
      <c r="F187" s="232"/>
      <c r="G187" s="232"/>
      <c r="H187" s="232"/>
      <c r="I187" s="232"/>
      <c r="J187" s="232"/>
      <c r="K187" s="409"/>
      <c r="L187" s="409"/>
      <c r="M187" s="409"/>
      <c r="N187" s="232"/>
    </row>
    <row r="188" spans="1:14" ht="15.75">
      <c r="A188" s="22">
        <v>1</v>
      </c>
      <c r="B188" s="23" t="s">
        <v>28</v>
      </c>
      <c r="D188" s="408"/>
      <c r="F188" s="232"/>
      <c r="G188" s="232"/>
      <c r="H188" s="232"/>
      <c r="I188" s="232"/>
      <c r="J188" s="232"/>
      <c r="K188" s="409"/>
      <c r="L188" s="409"/>
      <c r="M188" s="409"/>
      <c r="N188" s="232"/>
    </row>
    <row r="189" spans="1:14">
      <c r="A189" s="33">
        <v>1.03</v>
      </c>
      <c r="B189" s="24" t="s">
        <v>254</v>
      </c>
      <c r="C189" s="25" t="s">
        <v>32</v>
      </c>
      <c r="D189" s="26">
        <v>1</v>
      </c>
      <c r="E189" s="26">
        <v>43000</v>
      </c>
      <c r="F189" s="34">
        <f t="shared" ref="F189" si="123">D189*E189</f>
        <v>43000</v>
      </c>
      <c r="G189" s="410">
        <v>1</v>
      </c>
      <c r="H189" s="410"/>
      <c r="I189" s="349">
        <f t="shared" ref="I189" si="124">G189+H189</f>
        <v>1</v>
      </c>
      <c r="J189" s="350">
        <f t="shared" ref="J189" si="125">I189/D189</f>
        <v>1</v>
      </c>
      <c r="K189" s="351">
        <f>G189*E189</f>
        <v>43000</v>
      </c>
      <c r="L189" s="411">
        <f>H189*E189</f>
        <v>0</v>
      </c>
      <c r="M189" s="412">
        <f t="shared" ref="M189:M190" si="126">K189+L189</f>
        <v>43000</v>
      </c>
      <c r="N189" s="232"/>
    </row>
    <row r="190" spans="1:14" ht="15.75">
      <c r="A190" s="188"/>
      <c r="B190" s="408"/>
      <c r="C190" s="408"/>
      <c r="D190" s="408"/>
      <c r="F190" s="232"/>
      <c r="G190" s="410"/>
      <c r="H190" s="410"/>
      <c r="I190" s="410"/>
      <c r="J190" s="410"/>
      <c r="K190" s="413">
        <f>SUM(K189)</f>
        <v>43000</v>
      </c>
      <c r="L190" s="413">
        <f>SUM(L189)</f>
        <v>0</v>
      </c>
      <c r="M190" s="414">
        <f t="shared" si="126"/>
        <v>43000</v>
      </c>
      <c r="N190" s="232"/>
    </row>
    <row r="191" spans="1:14">
      <c r="B191" s="23" t="s">
        <v>376</v>
      </c>
      <c r="C191" s="25"/>
      <c r="D191" s="26"/>
      <c r="E191" s="26"/>
      <c r="F191" s="34"/>
      <c r="G191" s="410"/>
      <c r="H191" s="410"/>
      <c r="I191" s="410"/>
      <c r="J191" s="410"/>
      <c r="K191" s="351"/>
      <c r="L191" s="415"/>
      <c r="M191" s="415"/>
      <c r="N191" s="232"/>
    </row>
    <row r="192" spans="1:14">
      <c r="B192" s="24" t="s">
        <v>259</v>
      </c>
      <c r="C192" s="25" t="s">
        <v>54</v>
      </c>
      <c r="D192" s="26">
        <v>16</v>
      </c>
      <c r="E192" s="26">
        <v>1850</v>
      </c>
      <c r="F192" s="34">
        <f t="shared" ref="F192:F197" si="127">D192*E192</f>
        <v>29600</v>
      </c>
      <c r="G192" s="338">
        <v>8</v>
      </c>
      <c r="H192" s="338"/>
      <c r="I192" s="349">
        <f t="shared" ref="I192:I197" si="128">G192+H192</f>
        <v>8</v>
      </c>
      <c r="J192" s="350">
        <f t="shared" ref="J192:J197" si="129">I192/D192</f>
        <v>0.5</v>
      </c>
      <c r="K192" s="351">
        <f>G192*E192</f>
        <v>14800</v>
      </c>
      <c r="L192" s="415">
        <f>H192*E192</f>
        <v>0</v>
      </c>
      <c r="M192" s="414">
        <f t="shared" ref="M192:M198" si="130">K192+L192</f>
        <v>14800</v>
      </c>
      <c r="N192" s="232"/>
    </row>
    <row r="193" spans="1:15">
      <c r="B193" s="57" t="s">
        <v>50</v>
      </c>
      <c r="C193" s="58" t="s">
        <v>36</v>
      </c>
      <c r="D193" s="416">
        <v>45</v>
      </c>
      <c r="E193" s="416">
        <v>255</v>
      </c>
      <c r="F193" s="34">
        <f t="shared" si="127"/>
        <v>11475</v>
      </c>
      <c r="G193" s="338">
        <v>22.5</v>
      </c>
      <c r="H193" s="338"/>
      <c r="I193" s="349">
        <f t="shared" si="128"/>
        <v>22.5</v>
      </c>
      <c r="J193" s="350">
        <f t="shared" si="129"/>
        <v>0.5</v>
      </c>
      <c r="K193" s="351">
        <f t="shared" ref="K193:K197" si="131">G193*E193</f>
        <v>5737.5</v>
      </c>
      <c r="L193" s="415">
        <f t="shared" ref="L193:L197" si="132">H193*E193</f>
        <v>0</v>
      </c>
      <c r="M193" s="414">
        <f t="shared" si="130"/>
        <v>5737.5</v>
      </c>
      <c r="N193" s="232"/>
    </row>
    <row r="194" spans="1:15">
      <c r="B194" s="24" t="s">
        <v>377</v>
      </c>
      <c r="C194" s="25" t="s">
        <v>45</v>
      </c>
      <c r="D194" s="26">
        <v>3</v>
      </c>
      <c r="E194" s="26">
        <v>33055.339999999997</v>
      </c>
      <c r="F194" s="34">
        <f t="shared" si="127"/>
        <v>99166.01999999999</v>
      </c>
      <c r="G194" s="338">
        <v>1.5</v>
      </c>
      <c r="H194" s="338"/>
      <c r="I194" s="349">
        <f t="shared" si="128"/>
        <v>1.5</v>
      </c>
      <c r="J194" s="350">
        <f t="shared" si="129"/>
        <v>0.5</v>
      </c>
      <c r="K194" s="351">
        <f t="shared" si="131"/>
        <v>49583.009999999995</v>
      </c>
      <c r="L194" s="415">
        <f t="shared" si="132"/>
        <v>0</v>
      </c>
      <c r="M194" s="414">
        <f t="shared" si="130"/>
        <v>49583.009999999995</v>
      </c>
      <c r="N194" s="232"/>
    </row>
    <row r="195" spans="1:15">
      <c r="B195" s="376" t="s">
        <v>378</v>
      </c>
      <c r="C195" s="25" t="s">
        <v>45</v>
      </c>
      <c r="D195" s="26">
        <v>8</v>
      </c>
      <c r="E195" s="26">
        <v>9942.09</v>
      </c>
      <c r="F195" s="34">
        <f t="shared" si="127"/>
        <v>79536.72</v>
      </c>
      <c r="G195" s="338">
        <v>4</v>
      </c>
      <c r="H195" s="338"/>
      <c r="I195" s="349">
        <f t="shared" si="128"/>
        <v>4</v>
      </c>
      <c r="J195" s="350">
        <f t="shared" si="129"/>
        <v>0.5</v>
      </c>
      <c r="K195" s="351">
        <f t="shared" si="131"/>
        <v>39768.36</v>
      </c>
      <c r="L195" s="415">
        <f t="shared" si="132"/>
        <v>0</v>
      </c>
      <c r="M195" s="414">
        <f t="shared" si="130"/>
        <v>39768.36</v>
      </c>
      <c r="N195" s="232"/>
    </row>
    <row r="196" spans="1:15">
      <c r="B196" s="24" t="s">
        <v>379</v>
      </c>
      <c r="C196" s="25" t="s">
        <v>32</v>
      </c>
      <c r="D196" s="26">
        <v>1</v>
      </c>
      <c r="E196" s="26">
        <v>80000</v>
      </c>
      <c r="F196" s="34">
        <f t="shared" si="127"/>
        <v>80000</v>
      </c>
      <c r="G196" s="338">
        <v>0.5</v>
      </c>
      <c r="H196" s="338"/>
      <c r="I196" s="349">
        <f t="shared" si="128"/>
        <v>0.5</v>
      </c>
      <c r="J196" s="350">
        <f t="shared" si="129"/>
        <v>0.5</v>
      </c>
      <c r="K196" s="351">
        <f t="shared" si="131"/>
        <v>40000</v>
      </c>
      <c r="L196" s="415">
        <f t="shared" si="132"/>
        <v>0</v>
      </c>
      <c r="M196" s="414">
        <f t="shared" si="130"/>
        <v>40000</v>
      </c>
      <c r="N196" s="232"/>
    </row>
    <row r="197" spans="1:15">
      <c r="B197" s="24" t="s">
        <v>380</v>
      </c>
      <c r="C197" s="25" t="s">
        <v>32</v>
      </c>
      <c r="D197" s="26">
        <v>1</v>
      </c>
      <c r="E197" s="26">
        <v>16500</v>
      </c>
      <c r="F197" s="34">
        <f t="shared" si="127"/>
        <v>16500</v>
      </c>
      <c r="G197" s="338">
        <v>0.5</v>
      </c>
      <c r="H197" s="338"/>
      <c r="I197" s="349">
        <f t="shared" si="128"/>
        <v>0.5</v>
      </c>
      <c r="J197" s="350">
        <f t="shared" si="129"/>
        <v>0.5</v>
      </c>
      <c r="K197" s="351">
        <f t="shared" si="131"/>
        <v>8250</v>
      </c>
      <c r="L197" s="415">
        <f t="shared" si="132"/>
        <v>0</v>
      </c>
      <c r="M197" s="414">
        <f t="shared" si="130"/>
        <v>8250</v>
      </c>
      <c r="N197" s="232"/>
    </row>
    <row r="198" spans="1:15">
      <c r="B198" s="68" t="s">
        <v>381</v>
      </c>
      <c r="C198" s="25"/>
      <c r="D198" s="26"/>
      <c r="E198" s="26"/>
      <c r="F198" s="47">
        <f>SUM(F192:F197)</f>
        <v>316277.74</v>
      </c>
      <c r="G198" s="410"/>
      <c r="H198" s="410"/>
      <c r="I198" s="410"/>
      <c r="J198" s="410"/>
      <c r="K198" s="417">
        <f>SUM(K192:K197)</f>
        <v>158138.87</v>
      </c>
      <c r="L198" s="417">
        <f>SUM(L192:L197)</f>
        <v>0</v>
      </c>
      <c r="M198" s="358">
        <f t="shared" si="130"/>
        <v>158138.87</v>
      </c>
      <c r="N198" s="232"/>
    </row>
    <row r="199" spans="1:15">
      <c r="F199" s="232"/>
      <c r="G199" s="418"/>
      <c r="H199" s="418"/>
      <c r="I199" s="418"/>
      <c r="J199" s="418"/>
      <c r="K199" s="274"/>
      <c r="L199" s="274"/>
      <c r="M199" s="274"/>
    </row>
    <row r="200" spans="1:15">
      <c r="B200" s="68" t="s">
        <v>382</v>
      </c>
      <c r="C200" s="25"/>
      <c r="D200" s="26"/>
      <c r="E200" s="26"/>
      <c r="F200" s="34"/>
      <c r="G200" s="410"/>
      <c r="H200" s="410"/>
      <c r="I200" s="410"/>
      <c r="J200" s="410"/>
      <c r="K200" s="411"/>
      <c r="L200" s="411"/>
      <c r="M200" s="411"/>
    </row>
    <row r="201" spans="1:15">
      <c r="B201" s="75" t="s">
        <v>383</v>
      </c>
      <c r="C201" s="25" t="s">
        <v>32</v>
      </c>
      <c r="D201" s="26">
        <v>1</v>
      </c>
      <c r="E201" s="26">
        <v>575000</v>
      </c>
      <c r="F201" s="26">
        <f t="shared" ref="F201" si="133">D201*E201</f>
        <v>575000</v>
      </c>
      <c r="G201" s="338">
        <v>0.5</v>
      </c>
      <c r="H201" s="348"/>
      <c r="I201" s="349">
        <f>G201+H201</f>
        <v>0.5</v>
      </c>
      <c r="J201" s="350">
        <f>I201/D201</f>
        <v>0.5</v>
      </c>
      <c r="K201" s="411">
        <f t="shared" ref="K201" si="134">G201*E201</f>
        <v>287500</v>
      </c>
      <c r="L201" s="411">
        <f t="shared" ref="L201" si="135">H201*E201</f>
        <v>0</v>
      </c>
      <c r="M201" s="360">
        <f t="shared" ref="M201:M202" si="136">K201+L201</f>
        <v>287500</v>
      </c>
    </row>
    <row r="202" spans="1:15">
      <c r="B202" s="68" t="s">
        <v>384</v>
      </c>
      <c r="C202" s="25"/>
      <c r="D202" s="26"/>
      <c r="E202" s="26"/>
      <c r="F202" s="46">
        <f>F201</f>
        <v>575000</v>
      </c>
      <c r="G202" s="419"/>
      <c r="H202" s="419"/>
      <c r="I202" s="419"/>
      <c r="J202" s="419"/>
      <c r="K202" s="417">
        <f>SUM(K201)</f>
        <v>287500</v>
      </c>
      <c r="L202" s="417">
        <f>SUM(L201)</f>
        <v>0</v>
      </c>
      <c r="M202" s="358">
        <f t="shared" si="136"/>
        <v>287500</v>
      </c>
    </row>
    <row r="203" spans="1:15">
      <c r="B203" s="420"/>
      <c r="C203" s="420"/>
      <c r="D203" s="420"/>
      <c r="E203" s="420"/>
      <c r="F203" s="420"/>
      <c r="G203" s="420"/>
      <c r="H203" s="420"/>
      <c r="I203" s="420"/>
      <c r="J203" s="420"/>
      <c r="K203" s="420"/>
      <c r="L203" s="420"/>
      <c r="M203" s="420"/>
      <c r="O203" s="297">
        <f>K190+K198+K202</f>
        <v>488638.87</v>
      </c>
    </row>
    <row r="204" spans="1:15">
      <c r="B204" s="1111" t="s">
        <v>0</v>
      </c>
      <c r="C204" s="1111"/>
      <c r="D204" s="1111"/>
      <c r="E204" s="1111"/>
      <c r="F204" s="1111"/>
      <c r="G204" s="1111"/>
      <c r="H204" s="1111"/>
      <c r="I204" s="1111"/>
      <c r="J204" s="1111"/>
      <c r="K204" s="1111"/>
      <c r="L204" s="1111"/>
      <c r="M204" s="1111"/>
      <c r="N204" s="1111"/>
    </row>
    <row r="205" spans="1:15">
      <c r="A205" s="1121" t="s">
        <v>1</v>
      </c>
      <c r="B205" s="1121"/>
      <c r="C205" s="1121"/>
      <c r="D205" s="1121"/>
      <c r="E205" s="1121"/>
      <c r="F205" s="1121"/>
      <c r="G205" s="1121"/>
      <c r="H205" s="1121"/>
      <c r="I205" s="1121"/>
      <c r="J205" s="1121"/>
      <c r="K205" s="1121"/>
      <c r="L205" s="1121"/>
      <c r="M205" s="1121"/>
      <c r="N205" s="4"/>
    </row>
    <row r="206" spans="1:15">
      <c r="B206" s="4"/>
      <c r="E206" s="6"/>
      <c r="F206" s="6"/>
      <c r="G206" s="6"/>
      <c r="H206" s="7"/>
      <c r="I206" s="4"/>
      <c r="J206" s="4"/>
      <c r="K206" s="323"/>
      <c r="L206" s="5" t="s">
        <v>5</v>
      </c>
      <c r="M206" s="8" t="s">
        <v>239</v>
      </c>
    </row>
    <row r="207" spans="1:15">
      <c r="B207" s="4"/>
      <c r="C207" s="5" t="s">
        <v>3</v>
      </c>
      <c r="D207" s="6" t="s">
        <v>240</v>
      </c>
      <c r="E207" s="4"/>
      <c r="F207" s="6"/>
      <c r="G207" s="6"/>
      <c r="H207" s="6"/>
      <c r="I207" s="4"/>
      <c r="J207" s="4"/>
      <c r="K207" s="4"/>
      <c r="L207" s="5" t="s">
        <v>8</v>
      </c>
      <c r="M207" s="8" t="s">
        <v>385</v>
      </c>
    </row>
    <row r="208" spans="1:15">
      <c r="B208" s="4"/>
      <c r="C208" s="5" t="s">
        <v>242</v>
      </c>
      <c r="D208" s="9">
        <v>4</v>
      </c>
      <c r="E208" s="4"/>
      <c r="F208" s="6"/>
      <c r="G208" s="6"/>
      <c r="H208" s="6"/>
      <c r="I208" s="4"/>
      <c r="J208" s="4"/>
      <c r="K208" s="297"/>
      <c r="L208" s="421" t="s">
        <v>386</v>
      </c>
      <c r="M208" s="5"/>
      <c r="N208" s="8"/>
    </row>
    <row r="209" spans="2:14">
      <c r="B209" s="4"/>
      <c r="C209" s="5" t="s">
        <v>9</v>
      </c>
      <c r="D209" s="6" t="s">
        <v>244</v>
      </c>
      <c r="E209" s="6"/>
      <c r="F209" s="6"/>
      <c r="G209" s="6"/>
      <c r="H209" s="10"/>
      <c r="I209" s="4"/>
      <c r="J209" s="4"/>
      <c r="K209" s="4"/>
      <c r="L209" s="5" t="s">
        <v>245</v>
      </c>
      <c r="M209" s="11" t="s">
        <v>246</v>
      </c>
    </row>
    <row r="210" spans="2:14">
      <c r="B210" s="4"/>
      <c r="C210" s="5" t="s">
        <v>13</v>
      </c>
      <c r="D210" s="6" t="s">
        <v>247</v>
      </c>
      <c r="E210" s="6"/>
      <c r="F210" s="6"/>
      <c r="G210" s="6"/>
      <c r="H210" s="6"/>
      <c r="I210" s="4"/>
      <c r="J210" s="4"/>
      <c r="K210" s="4"/>
      <c r="L210" s="323"/>
      <c r="M210" s="4"/>
      <c r="N210" s="4"/>
    </row>
    <row r="211" spans="2:14">
      <c r="C211" s="5"/>
      <c r="D211" s="6"/>
      <c r="E211" s="6"/>
      <c r="F211" s="1" t="s">
        <v>21</v>
      </c>
      <c r="G211" s="249"/>
      <c r="H211" s="1156" t="s">
        <v>24</v>
      </c>
      <c r="I211" s="1156"/>
      <c r="J211" s="1111" t="s">
        <v>25</v>
      </c>
      <c r="K211" s="1111"/>
      <c r="L211" s="1111" t="s">
        <v>26</v>
      </c>
      <c r="M211" s="1111"/>
    </row>
    <row r="212" spans="2:14">
      <c r="B212" s="9" t="s">
        <v>387</v>
      </c>
      <c r="C212" s="422"/>
      <c r="D212" s="422"/>
      <c r="F212" s="241">
        <f>F183</f>
        <v>15751950.544656001</v>
      </c>
      <c r="G212" s="249"/>
      <c r="H212" s="1114">
        <f>K183</f>
        <v>13350882.77375</v>
      </c>
      <c r="I212" s="1114"/>
      <c r="J212" s="1135">
        <f>L183+L196+L200+L188</f>
        <v>2188326.1</v>
      </c>
      <c r="K212" s="1135"/>
      <c r="L212" s="1132">
        <f>H212+J212</f>
        <v>15539208.873749999</v>
      </c>
      <c r="M212" s="1132"/>
    </row>
    <row r="213" spans="2:14">
      <c r="B213" s="9" t="s">
        <v>215</v>
      </c>
      <c r="C213" s="6"/>
      <c r="E213" s="6"/>
      <c r="F213" s="6"/>
      <c r="G213" s="315"/>
      <c r="H213" s="1156"/>
      <c r="I213" s="1156"/>
      <c r="J213" s="1135"/>
      <c r="K213" s="1135"/>
      <c r="L213" s="1135"/>
      <c r="M213" s="1135"/>
    </row>
    <row r="214" spans="2:14">
      <c r="B214" s="9" t="s">
        <v>133</v>
      </c>
    </row>
    <row r="215" spans="2:14">
      <c r="B215" s="6" t="s">
        <v>134</v>
      </c>
      <c r="C215" s="96">
        <v>3.5000000000000003E-2</v>
      </c>
      <c r="F215" s="95">
        <f>C215*F212</f>
        <v>551318.26906296005</v>
      </c>
      <c r="G215" s="423"/>
      <c r="H215" s="1133">
        <f>H212*C215</f>
        <v>467280.89708125003</v>
      </c>
      <c r="I215" s="1133"/>
      <c r="J215" s="1133">
        <f>J212*C215</f>
        <v>76591.41350000001</v>
      </c>
      <c r="K215" s="1133"/>
      <c r="L215" s="1120">
        <f>J215+H215</f>
        <v>543872.31058125</v>
      </c>
      <c r="M215" s="1120"/>
    </row>
    <row r="216" spans="2:14">
      <c r="B216" s="6" t="s">
        <v>135</v>
      </c>
      <c r="C216" s="98">
        <v>0.1</v>
      </c>
      <c r="F216" s="95">
        <f>C216*F212</f>
        <v>1575195.0544656003</v>
      </c>
      <c r="G216" s="243"/>
      <c r="H216" s="1133">
        <f>H212*C216</f>
        <v>1335088.2773750001</v>
      </c>
      <c r="I216" s="1133"/>
      <c r="J216" s="1133">
        <f>J212*C216</f>
        <v>218832.61000000002</v>
      </c>
      <c r="K216" s="1133"/>
      <c r="L216" s="1120">
        <f t="shared" ref="L216:L221" si="137">J216+H216</f>
        <v>1553920.8873750002</v>
      </c>
      <c r="M216" s="1120"/>
    </row>
    <row r="217" spans="2:14">
      <c r="B217" s="6" t="s">
        <v>136</v>
      </c>
      <c r="C217" s="98">
        <v>0.18</v>
      </c>
      <c r="F217" s="95">
        <f>C217*F216</f>
        <v>283535.10980380804</v>
      </c>
      <c r="G217" s="243"/>
      <c r="H217" s="1133">
        <f>H216*C217</f>
        <v>240315.88992750001</v>
      </c>
      <c r="I217" s="1133"/>
      <c r="J217" s="1133">
        <f>J216*C217</f>
        <v>39389.8698</v>
      </c>
      <c r="K217" s="1133"/>
      <c r="L217" s="1120">
        <f t="shared" si="137"/>
        <v>279705.75972750003</v>
      </c>
      <c r="M217" s="1120"/>
    </row>
    <row r="218" spans="2:14">
      <c r="B218" s="6" t="s">
        <v>137</v>
      </c>
      <c r="C218" s="98">
        <v>0.03</v>
      </c>
      <c r="F218" s="95">
        <f>C218*F212</f>
        <v>472558.51633968001</v>
      </c>
      <c r="G218" s="243"/>
      <c r="H218" s="1175">
        <f>H212*C218</f>
        <v>400526.4832125</v>
      </c>
      <c r="I218" s="1175"/>
      <c r="J218" s="1175">
        <f>J212*C218</f>
        <v>65649.782999999996</v>
      </c>
      <c r="K218" s="1175"/>
      <c r="L218" s="1120">
        <f t="shared" si="137"/>
        <v>466176.26621249999</v>
      </c>
      <c r="M218" s="1120"/>
    </row>
    <row r="219" spans="2:14">
      <c r="B219" s="6" t="s">
        <v>138</v>
      </c>
      <c r="C219" s="109">
        <v>0.04</v>
      </c>
      <c r="F219" s="95">
        <f>C219*F212</f>
        <v>630078.02178624005</v>
      </c>
      <c r="G219" s="243"/>
      <c r="H219" s="1133">
        <f>H212*0.02</f>
        <v>267017.65547499998</v>
      </c>
      <c r="I219" s="1133"/>
      <c r="J219" s="1133">
        <f>J212*C219</f>
        <v>87533.044000000009</v>
      </c>
      <c r="K219" s="1133"/>
      <c r="L219" s="1120">
        <f t="shared" si="137"/>
        <v>354550.69947499997</v>
      </c>
      <c r="M219" s="1120"/>
    </row>
    <row r="220" spans="2:14">
      <c r="B220" s="6" t="s">
        <v>139</v>
      </c>
      <c r="C220" s="98">
        <v>0.01</v>
      </c>
      <c r="F220" s="95">
        <f>C220*F212</f>
        <v>157519.50544656001</v>
      </c>
      <c r="G220" s="243"/>
      <c r="H220" s="1175">
        <f>H212*C220</f>
        <v>133508.82773749999</v>
      </c>
      <c r="I220" s="1175"/>
      <c r="J220" s="1175">
        <f>J212*C220</f>
        <v>21883.261000000002</v>
      </c>
      <c r="K220" s="1175"/>
      <c r="L220" s="1120">
        <f t="shared" si="137"/>
        <v>155392.08873749999</v>
      </c>
      <c r="M220" s="1120"/>
    </row>
    <row r="221" spans="2:14">
      <c r="B221" s="6" t="s">
        <v>140</v>
      </c>
      <c r="C221" s="424">
        <v>1E-3</v>
      </c>
      <c r="F221" s="425">
        <f>C221*F212</f>
        <v>15751.950544656002</v>
      </c>
      <c r="G221" s="255"/>
      <c r="H221" s="1176">
        <f>H212*C221</f>
        <v>13350.88277375</v>
      </c>
      <c r="I221" s="1176"/>
      <c r="J221" s="1176">
        <f>J212*C221</f>
        <v>2188.3261000000002</v>
      </c>
      <c r="K221" s="1176"/>
      <c r="L221" s="1120">
        <f t="shared" si="137"/>
        <v>15539.20887375</v>
      </c>
      <c r="M221" s="1120"/>
    </row>
    <row r="222" spans="2:14">
      <c r="B222" s="102" t="s">
        <v>388</v>
      </c>
      <c r="C222" s="103">
        <f>C215+C216+C217+C218+C219+C220+C221</f>
        <v>0.39599999999999996</v>
      </c>
      <c r="F222" s="95">
        <f>F215+F216+F217+F218+F219+F220+F221</f>
        <v>3685956.4274495044</v>
      </c>
      <c r="G222" s="255"/>
      <c r="H222" s="1133">
        <f>SUM(H215:I221)</f>
        <v>2857088.9135825001</v>
      </c>
      <c r="I222" s="1133"/>
      <c r="J222" s="1133">
        <f>SUM(J215:K221)</f>
        <v>512068.30739999999</v>
      </c>
      <c r="K222" s="1133"/>
      <c r="L222" s="1120">
        <f>J222+H222</f>
        <v>3369157.2209824999</v>
      </c>
      <c r="M222" s="1120"/>
    </row>
    <row r="223" spans="2:14">
      <c r="B223" s="426"/>
      <c r="D223" s="252"/>
      <c r="E223" s="253"/>
      <c r="G223" s="3"/>
      <c r="H223" s="4"/>
      <c r="I223" s="4"/>
      <c r="J223" s="4"/>
      <c r="K223" s="4"/>
      <c r="L223" s="1140"/>
      <c r="M223" s="1140"/>
    </row>
    <row r="224" spans="2:14">
      <c r="B224" s="426"/>
      <c r="C224" s="9"/>
      <c r="D224" s="252"/>
      <c r="E224" s="253"/>
      <c r="F224" s="315"/>
      <c r="G224" s="3"/>
      <c r="H224" s="4"/>
      <c r="I224" s="4"/>
      <c r="J224" s="3"/>
      <c r="K224" s="3"/>
      <c r="L224" s="3"/>
      <c r="M224" s="3"/>
    </row>
    <row r="225" spans="2:15">
      <c r="B225" s="9" t="s">
        <v>389</v>
      </c>
      <c r="C225" s="98"/>
      <c r="D225" s="252"/>
      <c r="F225" s="249">
        <f>F212+F222</f>
        <v>19437906.972105507</v>
      </c>
      <c r="G225" s="3"/>
      <c r="H225" s="427"/>
      <c r="I225" s="427"/>
      <c r="L225" s="1157"/>
      <c r="M225" s="1157"/>
    </row>
    <row r="226" spans="2:15">
      <c r="B226" s="249"/>
      <c r="C226" s="253"/>
      <c r="D226" s="428"/>
      <c r="F226" s="251"/>
      <c r="G226" s="3"/>
      <c r="H226" s="427"/>
      <c r="I226" s="427"/>
      <c r="L226" s="1157"/>
      <c r="M226" s="1157"/>
    </row>
    <row r="227" spans="2:15">
      <c r="B227" s="9" t="s">
        <v>390</v>
      </c>
      <c r="C227" s="107"/>
      <c r="E227" s="3"/>
      <c r="F227" s="429"/>
      <c r="H227" s="1174">
        <f>H222+H212</f>
        <v>16207971.6873325</v>
      </c>
      <c r="I227" s="1174"/>
      <c r="J227" s="1135">
        <f>J222+J212</f>
        <v>2700394.4073999999</v>
      </c>
      <c r="K227" s="1135"/>
      <c r="L227" s="1130">
        <f>J227+H227</f>
        <v>18908366.094732501</v>
      </c>
      <c r="M227" s="1130"/>
    </row>
    <row r="228" spans="2:15">
      <c r="B228" s="108" t="s">
        <v>144</v>
      </c>
      <c r="C228" s="4"/>
      <c r="E228" s="4"/>
      <c r="H228" s="3"/>
      <c r="I228" s="430"/>
      <c r="J228" s="1157"/>
      <c r="K228" s="1157"/>
      <c r="L228" s="1157"/>
      <c r="M228" s="1111"/>
    </row>
    <row r="229" spans="2:15">
      <c r="B229" s="6" t="s">
        <v>139</v>
      </c>
      <c r="C229" s="4"/>
      <c r="E229" s="98">
        <v>0.01</v>
      </c>
      <c r="H229" s="1171">
        <f>H220</f>
        <v>133508.82773749999</v>
      </c>
      <c r="I229" s="1171"/>
      <c r="J229" s="1132">
        <f>J220</f>
        <v>21883.261000000002</v>
      </c>
      <c r="K229" s="1132"/>
      <c r="L229" s="1130">
        <f>H229+J229</f>
        <v>155392.08873749999</v>
      </c>
      <c r="M229" s="1130"/>
    </row>
    <row r="230" spans="2:15">
      <c r="B230" s="9" t="s">
        <v>140</v>
      </c>
      <c r="C230" s="4"/>
      <c r="E230" s="94">
        <v>1E-3</v>
      </c>
      <c r="H230" s="1171">
        <f>H221</f>
        <v>13350.88277375</v>
      </c>
      <c r="I230" s="1171"/>
      <c r="J230" s="1130">
        <f>J221</f>
        <v>2188.3261000000002</v>
      </c>
      <c r="K230" s="1130"/>
      <c r="L230" s="1130">
        <f>H230+J230</f>
        <v>15539.20887375</v>
      </c>
      <c r="M230" s="1130"/>
      <c r="N230" s="8"/>
    </row>
    <row r="231" spans="2:15">
      <c r="B231" s="9" t="s">
        <v>145</v>
      </c>
      <c r="C231" s="3"/>
      <c r="E231" s="109">
        <v>0.2</v>
      </c>
      <c r="H231" s="1171">
        <f>H227*E231</f>
        <v>3241594.3374665002</v>
      </c>
      <c r="I231" s="1171"/>
      <c r="J231" s="1130"/>
      <c r="K231" s="1130"/>
      <c r="L231" s="1130">
        <f>H231+J231</f>
        <v>3241594.3374665002</v>
      </c>
      <c r="M231" s="1130"/>
    </row>
    <row r="232" spans="2:15">
      <c r="B232" s="4"/>
      <c r="H232" s="1171">
        <f>SUM(H229:I231)</f>
        <v>3388454.0479777502</v>
      </c>
      <c r="I232" s="1171"/>
      <c r="J232" s="1130">
        <f>SUM(J229:K231)</f>
        <v>24071.587100000004</v>
      </c>
      <c r="K232" s="1130"/>
      <c r="L232" s="1130">
        <f>H232+J232</f>
        <v>3412525.6350777503</v>
      </c>
      <c r="M232" s="1130"/>
      <c r="N232" s="432"/>
    </row>
    <row r="233" spans="2:15">
      <c r="B233" s="9" t="s">
        <v>391</v>
      </c>
      <c r="D233" s="3"/>
      <c r="E233" s="3"/>
      <c r="F233" s="251"/>
      <c r="J233" s="1172"/>
      <c r="K233" s="1172"/>
      <c r="L233" s="1117"/>
      <c r="M233" s="1117"/>
      <c r="N233" s="110"/>
    </row>
    <row r="234" spans="2:15">
      <c r="B234" s="9" t="s">
        <v>392</v>
      </c>
      <c r="H234" s="1171">
        <f>H227-H232</f>
        <v>12819517.639354751</v>
      </c>
      <c r="I234" s="1171"/>
      <c r="J234" s="1173">
        <f>J227-J232</f>
        <v>2676322.8202999998</v>
      </c>
      <c r="K234" s="1173"/>
      <c r="L234" s="1130">
        <f>H234+J234</f>
        <v>15495840.45965475</v>
      </c>
      <c r="M234" s="1130"/>
      <c r="N234" s="244">
        <v>3241311.42</v>
      </c>
    </row>
    <row r="235" spans="2:15">
      <c r="B235" s="9"/>
      <c r="H235" s="431"/>
      <c r="I235" s="431"/>
      <c r="J235" s="420"/>
      <c r="K235" s="420"/>
      <c r="L235" s="257"/>
      <c r="M235" s="257"/>
      <c r="N235" s="244"/>
    </row>
    <row r="236" spans="2:15">
      <c r="B236" s="9"/>
      <c r="H236" s="431"/>
      <c r="I236" s="431"/>
      <c r="J236" s="420"/>
      <c r="K236" s="420"/>
      <c r="L236" s="257"/>
      <c r="M236" s="257"/>
      <c r="N236" s="244"/>
      <c r="O236" s="433">
        <f>J234+J230+J229</f>
        <v>2700394.4073999999</v>
      </c>
    </row>
    <row r="237" spans="2:15">
      <c r="B237" s="9"/>
      <c r="H237" s="431"/>
      <c r="I237" s="431"/>
      <c r="J237" s="420"/>
      <c r="K237" s="420"/>
      <c r="L237" s="257"/>
      <c r="M237" s="257"/>
      <c r="N237" s="244"/>
    </row>
    <row r="238" spans="2:15">
      <c r="B238" s="9"/>
      <c r="H238" s="431"/>
      <c r="I238" s="431"/>
      <c r="J238" s="420"/>
      <c r="K238" s="420"/>
      <c r="L238" s="257"/>
      <c r="M238" s="257"/>
      <c r="N238" s="244"/>
    </row>
    <row r="239" spans="2:15">
      <c r="B239" s="4"/>
      <c r="F239" s="4"/>
    </row>
    <row r="240" spans="2:15">
      <c r="B240" s="1" t="s">
        <v>147</v>
      </c>
      <c r="C240" s="1"/>
      <c r="E240" s="1111" t="s">
        <v>13</v>
      </c>
      <c r="F240" s="1111"/>
      <c r="G240" s="6"/>
      <c r="H240" s="6"/>
      <c r="I240" s="1111" t="s">
        <v>148</v>
      </c>
      <c r="J240" s="1111"/>
      <c r="K240" s="6"/>
      <c r="L240" s="1111" t="s">
        <v>149</v>
      </c>
      <c r="M240" s="1111"/>
      <c r="N240" s="6"/>
    </row>
    <row r="241" spans="1:14">
      <c r="B241" s="4"/>
      <c r="E241" s="1117"/>
      <c r="F241" s="1117"/>
      <c r="I241" s="1111"/>
      <c r="J241" s="1111"/>
      <c r="K241" s="1"/>
      <c r="L241" s="1111"/>
      <c r="M241" s="1111"/>
    </row>
    <row r="242" spans="1:14">
      <c r="A242" s="9"/>
      <c r="B242" s="1" t="s">
        <v>393</v>
      </c>
      <c r="C242" s="1"/>
      <c r="E242" s="1122" t="s">
        <v>394</v>
      </c>
      <c r="F242" s="1122"/>
      <c r="G242" s="6"/>
      <c r="H242" s="6"/>
      <c r="I242" s="1111" t="s">
        <v>151</v>
      </c>
      <c r="J242" s="1111"/>
      <c r="K242" s="6"/>
      <c r="L242" s="1128" t="s">
        <v>395</v>
      </c>
      <c r="M242" s="1128"/>
      <c r="N242" s="434"/>
    </row>
    <row r="243" spans="1:14">
      <c r="B243" s="1170" t="s">
        <v>154</v>
      </c>
      <c r="C243" s="1170"/>
      <c r="D243" s="1170"/>
      <c r="E243" s="1122"/>
      <c r="F243" s="1122"/>
      <c r="I243" s="1111" t="s">
        <v>396</v>
      </c>
      <c r="J243" s="1111"/>
      <c r="K243" s="6"/>
      <c r="L243" s="1111" t="s">
        <v>219</v>
      </c>
      <c r="M243" s="1111"/>
      <c r="N243" s="6"/>
    </row>
    <row r="244" spans="1:14">
      <c r="B244" s="1"/>
      <c r="E244" s="3"/>
      <c r="F244" s="3"/>
    </row>
    <row r="245" spans="1:14">
      <c r="B245" s="1"/>
      <c r="C245" s="3"/>
      <c r="D245" s="3"/>
      <c r="E245" s="3"/>
      <c r="F245" s="3"/>
    </row>
  </sheetData>
  <mergeCells count="77">
    <mergeCell ref="B204:N204"/>
    <mergeCell ref="A1:M1"/>
    <mergeCell ref="A2:M2"/>
    <mergeCell ref="A9:F9"/>
    <mergeCell ref="G9:J9"/>
    <mergeCell ref="K9:M9"/>
    <mergeCell ref="A205:M205"/>
    <mergeCell ref="H211:I211"/>
    <mergeCell ref="J211:K211"/>
    <mergeCell ref="L211:M211"/>
    <mergeCell ref="H212:I212"/>
    <mergeCell ref="J212:K212"/>
    <mergeCell ref="L212:M212"/>
    <mergeCell ref="H213:I213"/>
    <mergeCell ref="J213:K213"/>
    <mergeCell ref="L213:M213"/>
    <mergeCell ref="H215:I215"/>
    <mergeCell ref="J215:K215"/>
    <mergeCell ref="L215:M215"/>
    <mergeCell ref="H216:I216"/>
    <mergeCell ref="J216:K216"/>
    <mergeCell ref="L216:M216"/>
    <mergeCell ref="H217:I217"/>
    <mergeCell ref="J217:K217"/>
    <mergeCell ref="L217:M217"/>
    <mergeCell ref="H218:I218"/>
    <mergeCell ref="J218:K218"/>
    <mergeCell ref="L218:M218"/>
    <mergeCell ref="H219:I219"/>
    <mergeCell ref="J219:K219"/>
    <mergeCell ref="L219:M219"/>
    <mergeCell ref="H220:I220"/>
    <mergeCell ref="J220:K220"/>
    <mergeCell ref="L220:M220"/>
    <mergeCell ref="H221:I221"/>
    <mergeCell ref="J221:K221"/>
    <mergeCell ref="L221:M221"/>
    <mergeCell ref="H229:I229"/>
    <mergeCell ref="J229:K229"/>
    <mergeCell ref="L229:M229"/>
    <mergeCell ref="H222:I222"/>
    <mergeCell ref="J222:K222"/>
    <mergeCell ref="L222:M222"/>
    <mergeCell ref="L223:M223"/>
    <mergeCell ref="L225:M225"/>
    <mergeCell ref="L226:M226"/>
    <mergeCell ref="H227:I227"/>
    <mergeCell ref="J227:K227"/>
    <mergeCell ref="L227:M227"/>
    <mergeCell ref="J228:K228"/>
    <mergeCell ref="L228:M228"/>
    <mergeCell ref="H234:I234"/>
    <mergeCell ref="J234:K234"/>
    <mergeCell ref="L234:M234"/>
    <mergeCell ref="H230:I230"/>
    <mergeCell ref="J230:K230"/>
    <mergeCell ref="L230:M230"/>
    <mergeCell ref="H231:I231"/>
    <mergeCell ref="J231:K231"/>
    <mergeCell ref="L231:M231"/>
    <mergeCell ref="H232:I232"/>
    <mergeCell ref="J232:K232"/>
    <mergeCell ref="L232:M232"/>
    <mergeCell ref="J233:K233"/>
    <mergeCell ref="L233:M233"/>
    <mergeCell ref="E240:F240"/>
    <mergeCell ref="I240:J240"/>
    <mergeCell ref="L240:M240"/>
    <mergeCell ref="E241:F241"/>
    <mergeCell ref="I241:J241"/>
    <mergeCell ref="L241:M241"/>
    <mergeCell ref="E242:F243"/>
    <mergeCell ref="I242:J242"/>
    <mergeCell ref="L242:M242"/>
    <mergeCell ref="B243:D243"/>
    <mergeCell ref="I243:J243"/>
    <mergeCell ref="L243:M243"/>
  </mergeCells>
  <pageMargins left="0.7" right="0.7" top="0.75" bottom="0.75" header="0.3" footer="0.3"/>
  <pageSetup orientation="portrait" horizontalDpi="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344C1C-59F6-4C3A-B245-E4E641C4B281}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A4F1A9-3C5A-478C-8866-A35C000AEC1C}">
  <dimension ref="A1:W138"/>
  <sheetViews>
    <sheetView topLeftCell="A99" zoomScaleNormal="100" workbookViewId="0">
      <selection activeCell="G132" sqref="G132"/>
    </sheetView>
  </sheetViews>
  <sheetFormatPr baseColWidth="10" defaultRowHeight="15"/>
  <cols>
    <col min="2" max="2" width="40.28515625" bestFit="1" customWidth="1"/>
    <col min="5" max="5" width="12.140625" bestFit="1" customWidth="1"/>
    <col min="6" max="6" width="19.5703125" bestFit="1" customWidth="1"/>
    <col min="7" max="8" width="12.28515625" bestFit="1" customWidth="1"/>
    <col min="9" max="9" width="11.85546875" bestFit="1" customWidth="1"/>
    <col min="11" max="11" width="14.140625" bestFit="1" customWidth="1"/>
    <col min="12" max="12" width="15.5703125" customWidth="1"/>
    <col min="13" max="13" width="18.140625" bestFit="1" customWidth="1"/>
    <col min="14" max="14" width="17.85546875" bestFit="1" customWidth="1"/>
    <col min="15" max="15" width="16.7109375" bestFit="1" customWidth="1"/>
  </cols>
  <sheetData>
    <row r="1" spans="1:13">
      <c r="A1" s="1111" t="s">
        <v>0</v>
      </c>
      <c r="B1" s="1111"/>
      <c r="C1" s="1111"/>
      <c r="D1" s="1111"/>
      <c r="E1" s="1111"/>
      <c r="F1" s="1111"/>
      <c r="G1" s="1111"/>
      <c r="H1" s="1111"/>
      <c r="I1" s="1111"/>
      <c r="J1" s="1111"/>
      <c r="K1" s="1111"/>
      <c r="L1" s="1111"/>
      <c r="M1" s="1111"/>
    </row>
    <row r="2" spans="1:13">
      <c r="A2" s="1121" t="s">
        <v>1</v>
      </c>
      <c r="B2" s="1121"/>
      <c r="C2" s="1121"/>
      <c r="D2" s="1121"/>
      <c r="E2" s="1121"/>
      <c r="F2" s="1121"/>
      <c r="G2" s="1121"/>
      <c r="H2" s="1121"/>
      <c r="I2" s="1121"/>
      <c r="J2" s="1121"/>
      <c r="K2" s="1121"/>
      <c r="L2" s="1121"/>
      <c r="M2" s="1121"/>
    </row>
    <row r="3" spans="1:13">
      <c r="A3" s="4"/>
      <c r="B3" s="5" t="s">
        <v>3</v>
      </c>
      <c r="C3" s="1141" t="s">
        <v>397</v>
      </c>
      <c r="D3" s="1141"/>
      <c r="E3" s="1141"/>
      <c r="F3" s="1141"/>
      <c r="G3" s="1141"/>
      <c r="H3" s="1141"/>
      <c r="I3" s="1141"/>
      <c r="J3" s="4"/>
      <c r="K3" s="4"/>
      <c r="L3" s="5" t="s">
        <v>5</v>
      </c>
      <c r="M3" s="8">
        <v>19236531.640000001</v>
      </c>
    </row>
    <row r="4" spans="1:13">
      <c r="A4" s="4"/>
      <c r="B4" s="5" t="s">
        <v>7</v>
      </c>
      <c r="C4" s="9">
        <v>4</v>
      </c>
      <c r="D4" s="4"/>
      <c r="E4" s="6"/>
      <c r="F4" s="6"/>
      <c r="G4" s="6"/>
      <c r="H4" s="435"/>
      <c r="I4" s="4"/>
      <c r="J4" s="4"/>
      <c r="K4" s="4"/>
      <c r="L4" s="5" t="s">
        <v>8</v>
      </c>
      <c r="M4" s="8">
        <f>M3*0.2</f>
        <v>3847306.3280000002</v>
      </c>
    </row>
    <row r="5" spans="1:13">
      <c r="A5" s="4"/>
      <c r="B5" s="5" t="s">
        <v>9</v>
      </c>
      <c r="C5" s="436" t="s">
        <v>398</v>
      </c>
      <c r="D5" s="6"/>
      <c r="E5" s="6"/>
      <c r="F5" s="6"/>
      <c r="G5" s="10"/>
      <c r="H5" s="437"/>
      <c r="I5" s="4"/>
      <c r="J5" s="4"/>
      <c r="K5" s="4"/>
      <c r="L5" s="5" t="s">
        <v>11</v>
      </c>
      <c r="M5" s="11" t="s">
        <v>399</v>
      </c>
    </row>
    <row r="6" spans="1:13">
      <c r="A6" s="4"/>
      <c r="B6" s="5" t="s">
        <v>13</v>
      </c>
      <c r="C6" s="9" t="s">
        <v>400</v>
      </c>
      <c r="D6" s="6"/>
      <c r="E6" s="6"/>
      <c r="F6" s="6"/>
      <c r="H6" s="4"/>
      <c r="I6" s="4"/>
      <c r="J6" s="4"/>
      <c r="K6" s="4"/>
      <c r="L6" s="4"/>
      <c r="M6" s="4"/>
    </row>
    <row r="7" spans="1:13">
      <c r="A7" s="1185" t="s">
        <v>164</v>
      </c>
      <c r="B7" s="1185"/>
      <c r="C7" s="1185"/>
      <c r="D7" s="1185"/>
      <c r="E7" s="1185"/>
      <c r="F7" s="1185"/>
      <c r="G7" s="1177" t="s">
        <v>16</v>
      </c>
      <c r="H7" s="1177"/>
      <c r="I7" s="1177"/>
      <c r="J7" s="1177"/>
      <c r="K7" s="1178" t="s">
        <v>17</v>
      </c>
      <c r="L7" s="1178"/>
      <c r="M7" s="1178"/>
    </row>
    <row r="8" spans="1:13">
      <c r="A8" s="120" t="s">
        <v>18</v>
      </c>
      <c r="B8" s="121" t="s">
        <v>19</v>
      </c>
      <c r="C8" s="121" t="s">
        <v>20</v>
      </c>
      <c r="D8" s="121" t="s">
        <v>165</v>
      </c>
      <c r="E8" s="122" t="s">
        <v>22</v>
      </c>
      <c r="F8" s="122" t="s">
        <v>23</v>
      </c>
      <c r="G8" s="123" t="s">
        <v>24</v>
      </c>
      <c r="H8" s="123" t="s">
        <v>25</v>
      </c>
      <c r="I8" s="124" t="s">
        <v>26</v>
      </c>
      <c r="J8" s="125" t="s">
        <v>27</v>
      </c>
      <c r="K8" s="126" t="s">
        <v>24</v>
      </c>
      <c r="L8" s="127" t="s">
        <v>25</v>
      </c>
      <c r="M8" s="127" t="s">
        <v>26</v>
      </c>
    </row>
    <row r="9" spans="1:13">
      <c r="A9" s="438" t="s">
        <v>401</v>
      </c>
      <c r="B9" s="439" t="s">
        <v>402</v>
      </c>
      <c r="C9" s="440"/>
      <c r="D9" s="441"/>
      <c r="E9" s="441"/>
      <c r="F9" s="441"/>
      <c r="G9" s="125"/>
      <c r="H9" s="125"/>
      <c r="I9" s="125"/>
      <c r="J9" s="125"/>
      <c r="K9" s="126"/>
      <c r="L9" s="127"/>
      <c r="M9" s="127"/>
    </row>
    <row r="10" spans="1:13">
      <c r="A10" s="442">
        <v>1</v>
      </c>
      <c r="B10" s="439" t="s">
        <v>28</v>
      </c>
      <c r="C10" s="440"/>
      <c r="D10" s="441"/>
      <c r="E10" s="441"/>
      <c r="F10" s="441"/>
      <c r="G10" s="125"/>
      <c r="H10" s="125"/>
      <c r="I10" s="125"/>
      <c r="J10" s="125"/>
      <c r="K10" s="126"/>
      <c r="L10" s="127"/>
      <c r="M10" s="127"/>
    </row>
    <row r="11" spans="1:13">
      <c r="A11" s="443">
        <v>1.01</v>
      </c>
      <c r="B11" s="355" t="s">
        <v>29</v>
      </c>
      <c r="C11" s="373" t="s">
        <v>30</v>
      </c>
      <c r="D11" s="80">
        <v>1242.75</v>
      </c>
      <c r="E11" s="400">
        <v>143.49</v>
      </c>
      <c r="F11" s="400">
        <f>D11*E11</f>
        <v>178322.19750000001</v>
      </c>
      <c r="G11" s="444">
        <v>1226</v>
      </c>
      <c r="H11" s="125"/>
      <c r="I11" s="445">
        <f>+G11+H11</f>
        <v>1226</v>
      </c>
      <c r="J11" s="446">
        <f>G11/D11</f>
        <v>0.98652182659424659</v>
      </c>
      <c r="K11" s="447">
        <f>G11*E11</f>
        <v>175918.74000000002</v>
      </c>
      <c r="L11" s="448"/>
      <c r="M11" s="448">
        <f>K11+L11</f>
        <v>175918.74000000002</v>
      </c>
    </row>
    <row r="12" spans="1:13">
      <c r="A12" s="449">
        <f>A11+0.01</f>
        <v>1.02</v>
      </c>
      <c r="B12" s="355" t="s">
        <v>403</v>
      </c>
      <c r="C12" s="373" t="s">
        <v>78</v>
      </c>
      <c r="D12" s="80">
        <v>1</v>
      </c>
      <c r="E12" s="400">
        <v>30000</v>
      </c>
      <c r="F12" s="400">
        <f>D12*E12</f>
        <v>30000</v>
      </c>
      <c r="G12" s="450">
        <v>2</v>
      </c>
      <c r="H12" s="450">
        <v>-1</v>
      </c>
      <c r="I12" s="445">
        <f>+G12+H12</f>
        <v>1</v>
      </c>
      <c r="J12" s="446">
        <f>I12/D12</f>
        <v>1</v>
      </c>
      <c r="K12" s="447">
        <f>G12*E12</f>
        <v>60000</v>
      </c>
      <c r="L12" s="448">
        <f>H12*E12</f>
        <v>-30000</v>
      </c>
      <c r="M12" s="448">
        <f>K12+L12</f>
        <v>30000</v>
      </c>
    </row>
    <row r="13" spans="1:13">
      <c r="A13" s="449">
        <f>A12+0.01</f>
        <v>1.03</v>
      </c>
      <c r="B13" s="355" t="s">
        <v>404</v>
      </c>
      <c r="C13" s="373" t="s">
        <v>30</v>
      </c>
      <c r="D13" s="80">
        <v>2485.5</v>
      </c>
      <c r="E13" s="400">
        <v>85</v>
      </c>
      <c r="F13" s="400">
        <f>D13*E13</f>
        <v>211267.5</v>
      </c>
      <c r="G13" s="450">
        <v>1290</v>
      </c>
      <c r="H13" s="451"/>
      <c r="I13" s="445">
        <f>+G13+H13</f>
        <v>1290</v>
      </c>
      <c r="J13" s="446">
        <f>I13/D13</f>
        <v>0.5190102595051298</v>
      </c>
      <c r="K13" s="447">
        <f>G13*E13</f>
        <v>109650</v>
      </c>
      <c r="L13" s="448"/>
      <c r="M13" s="448">
        <f t="shared" ref="M13:M22" si="0">K13+L13</f>
        <v>109650</v>
      </c>
    </row>
    <row r="14" spans="1:13">
      <c r="A14" s="449">
        <f>A13+0.01</f>
        <v>1.04</v>
      </c>
      <c r="B14" s="355" t="s">
        <v>405</v>
      </c>
      <c r="C14" s="361" t="s">
        <v>30</v>
      </c>
      <c r="D14" s="355">
        <v>1242.75</v>
      </c>
      <c r="E14" s="346">
        <v>25</v>
      </c>
      <c r="F14" s="400">
        <f>D14*E14</f>
        <v>31068.75</v>
      </c>
      <c r="G14" s="444">
        <v>1226</v>
      </c>
      <c r="H14" s="451"/>
      <c r="I14" s="445">
        <f>+G14+H14</f>
        <v>1226</v>
      </c>
      <c r="J14" s="446">
        <f>I14/D14</f>
        <v>0.98652182659424659</v>
      </c>
      <c r="K14" s="447">
        <f>G14*E14</f>
        <v>30650</v>
      </c>
      <c r="L14" s="448"/>
      <c r="M14" s="448">
        <f t="shared" si="0"/>
        <v>30650</v>
      </c>
    </row>
    <row r="15" spans="1:13">
      <c r="A15" s="449">
        <f>A14+0.01</f>
        <v>1.05</v>
      </c>
      <c r="B15" s="452" t="s">
        <v>257</v>
      </c>
      <c r="C15" s="361"/>
      <c r="D15" s="355"/>
      <c r="E15" s="355"/>
      <c r="F15" s="403">
        <f>SUM(F11:F14)</f>
        <v>450658.44750000001</v>
      </c>
      <c r="G15" s="453"/>
      <c r="H15" s="125"/>
      <c r="I15" s="125"/>
      <c r="J15" s="125"/>
      <c r="K15" s="454">
        <f>SUM(K11:K14)</f>
        <v>376218.74</v>
      </c>
      <c r="L15" s="455">
        <f>SUM(L12:L14)</f>
        <v>-30000</v>
      </c>
      <c r="M15" s="455">
        <f t="shared" si="0"/>
        <v>346218.74</v>
      </c>
    </row>
    <row r="16" spans="1:13">
      <c r="A16" s="456">
        <v>2</v>
      </c>
      <c r="B16" s="402" t="s">
        <v>406</v>
      </c>
      <c r="C16" s="361"/>
      <c r="D16" s="355"/>
      <c r="E16" s="355"/>
      <c r="F16" s="355"/>
      <c r="G16" s="453"/>
      <c r="H16" s="125"/>
      <c r="I16" s="125"/>
      <c r="J16" s="125"/>
      <c r="K16" s="457"/>
      <c r="L16" s="458"/>
      <c r="M16" s="458"/>
    </row>
    <row r="17" spans="1:13">
      <c r="A17" s="443">
        <f t="shared" ref="A17:A22" si="1">A16+0.01</f>
        <v>2.0099999999999998</v>
      </c>
      <c r="B17" s="355" t="s">
        <v>35</v>
      </c>
      <c r="C17" s="361" t="s">
        <v>36</v>
      </c>
      <c r="D17" s="459">
        <v>894.78111000000001</v>
      </c>
      <c r="E17" s="346">
        <v>562.30999999999995</v>
      </c>
      <c r="F17" s="400">
        <f>D17*E17</f>
        <v>503144.36596409994</v>
      </c>
      <c r="G17" s="450">
        <v>775.5</v>
      </c>
      <c r="H17" s="451"/>
      <c r="I17" s="445">
        <f>+G17+H17</f>
        <v>775.5</v>
      </c>
      <c r="J17" s="446">
        <f>I17/D17</f>
        <v>0.86669241374574835</v>
      </c>
      <c r="K17" s="447">
        <f>G17*E17</f>
        <v>436071.40499999997</v>
      </c>
      <c r="L17" s="460"/>
      <c r="M17" s="448">
        <f t="shared" si="0"/>
        <v>436071.40499999997</v>
      </c>
    </row>
    <row r="18" spans="1:13">
      <c r="A18" s="449">
        <f t="shared" si="1"/>
        <v>2.0199999999999996</v>
      </c>
      <c r="B18" s="355" t="s">
        <v>171</v>
      </c>
      <c r="C18" s="361" t="s">
        <v>36</v>
      </c>
      <c r="D18" s="459">
        <v>74.564999999999998</v>
      </c>
      <c r="E18" s="461">
        <v>2715.82132</v>
      </c>
      <c r="F18" s="400">
        <f>D18*E18</f>
        <v>202505.21672579998</v>
      </c>
      <c r="G18" s="450">
        <v>75.3</v>
      </c>
      <c r="H18" s="462">
        <f>D18-G18</f>
        <v>-0.73499999999999943</v>
      </c>
      <c r="I18" s="463">
        <f t="shared" ref="I18:I21" si="2">+G18+H18</f>
        <v>74.564999999999998</v>
      </c>
      <c r="J18" s="446">
        <f t="shared" ref="J18:J21" si="3">I18/D18</f>
        <v>1</v>
      </c>
      <c r="K18" s="447">
        <f>G18*2715.82</f>
        <v>204501.24600000001</v>
      </c>
      <c r="L18" s="448">
        <f>H18*E18</f>
        <v>-1996.1286701999984</v>
      </c>
      <c r="M18" s="448">
        <f t="shared" si="0"/>
        <v>202505.11732980001</v>
      </c>
    </row>
    <row r="19" spans="1:13">
      <c r="A19" s="449">
        <f t="shared" si="1"/>
        <v>2.0299999999999994</v>
      </c>
      <c r="B19" s="355" t="s">
        <v>39</v>
      </c>
      <c r="C19" s="361" t="s">
        <v>36</v>
      </c>
      <c r="D19" s="459">
        <v>387.738</v>
      </c>
      <c r="E19" s="464">
        <v>504.28501</v>
      </c>
      <c r="F19" s="400">
        <f t="shared" ref="F19:F21" si="4">D19*E19</f>
        <v>195530.46120737999</v>
      </c>
      <c r="G19" s="450">
        <v>223.58</v>
      </c>
      <c r="H19" s="450"/>
      <c r="I19" s="445">
        <f t="shared" si="2"/>
        <v>223.58</v>
      </c>
      <c r="J19" s="446">
        <f t="shared" si="3"/>
        <v>0.57662648489443902</v>
      </c>
      <c r="K19" s="447">
        <f>G19*504.29</f>
        <v>112749.15820000001</v>
      </c>
      <c r="L19" s="460"/>
      <c r="M19" s="448">
        <f t="shared" si="0"/>
        <v>112749.15820000001</v>
      </c>
    </row>
    <row r="20" spans="1:13">
      <c r="A20" s="449">
        <f t="shared" si="1"/>
        <v>2.0399999999999991</v>
      </c>
      <c r="B20" s="355" t="s">
        <v>407</v>
      </c>
      <c r="C20" s="361" t="s">
        <v>36</v>
      </c>
      <c r="D20" s="459">
        <v>745.65</v>
      </c>
      <c r="E20" s="464">
        <v>719.98436900000002</v>
      </c>
      <c r="F20" s="400">
        <f t="shared" si="4"/>
        <v>536856.34474484995</v>
      </c>
      <c r="G20" s="450">
        <v>865.43</v>
      </c>
      <c r="H20" s="462">
        <f>D20-G20</f>
        <v>-119.77999999999997</v>
      </c>
      <c r="I20" s="445">
        <f t="shared" si="2"/>
        <v>745.65</v>
      </c>
      <c r="J20" s="446">
        <f t="shared" si="3"/>
        <v>1</v>
      </c>
      <c r="K20" s="447">
        <f>G20*719.98</f>
        <v>623092.29139999999</v>
      </c>
      <c r="L20" s="448">
        <f>H20*E20</f>
        <v>-86239.727718819981</v>
      </c>
      <c r="M20" s="448">
        <f t="shared" si="0"/>
        <v>536852.56368118001</v>
      </c>
    </row>
    <row r="21" spans="1:13">
      <c r="A21" s="449">
        <f t="shared" si="1"/>
        <v>2.0499999999999989</v>
      </c>
      <c r="B21" s="355" t="s">
        <v>408</v>
      </c>
      <c r="C21" s="361" t="s">
        <v>409</v>
      </c>
      <c r="D21" s="459">
        <v>90</v>
      </c>
      <c r="E21" s="346">
        <v>2400</v>
      </c>
      <c r="F21" s="400">
        <f t="shared" si="4"/>
        <v>216000</v>
      </c>
      <c r="G21" s="450">
        <v>104</v>
      </c>
      <c r="H21" s="450">
        <v>-14</v>
      </c>
      <c r="I21" s="445">
        <f t="shared" si="2"/>
        <v>90</v>
      </c>
      <c r="J21" s="446">
        <f t="shared" si="3"/>
        <v>1</v>
      </c>
      <c r="K21" s="447">
        <f t="shared" ref="K21" si="5">G21*E21</f>
        <v>249600</v>
      </c>
      <c r="L21" s="460"/>
      <c r="M21" s="448">
        <f t="shared" si="0"/>
        <v>249600</v>
      </c>
    </row>
    <row r="22" spans="1:13">
      <c r="A22" s="449">
        <f t="shared" si="1"/>
        <v>2.0599999999999987</v>
      </c>
      <c r="B22" s="452" t="s">
        <v>33</v>
      </c>
      <c r="C22" s="337"/>
      <c r="D22" s="337"/>
      <c r="E22" s="337"/>
      <c r="F22" s="403">
        <f>SUM(F17:F21)</f>
        <v>1654036.38864213</v>
      </c>
      <c r="G22" s="453"/>
      <c r="H22" s="125"/>
      <c r="I22" s="125"/>
      <c r="J22" s="125"/>
      <c r="K22" s="454">
        <f>SUM(K17:K21)</f>
        <v>1626014.1006</v>
      </c>
      <c r="L22" s="460">
        <f>SUM(L18:L21)</f>
        <v>-88235.856389019973</v>
      </c>
      <c r="M22" s="460">
        <f t="shared" si="0"/>
        <v>1537778.2442109801</v>
      </c>
    </row>
    <row r="23" spans="1:13">
      <c r="A23" s="391">
        <v>3</v>
      </c>
      <c r="B23" s="402" t="s">
        <v>40</v>
      </c>
      <c r="C23" s="361"/>
      <c r="D23" s="355"/>
      <c r="E23" s="355"/>
      <c r="F23" s="465"/>
      <c r="G23" s="453"/>
      <c r="H23" s="125"/>
      <c r="I23" s="125"/>
      <c r="J23" s="125"/>
      <c r="K23" s="466"/>
      <c r="L23" s="460"/>
      <c r="M23" s="460"/>
    </row>
    <row r="24" spans="1:13">
      <c r="A24" s="443">
        <f>A23+0.01</f>
        <v>3.01</v>
      </c>
      <c r="B24" s="355" t="s">
        <v>410</v>
      </c>
      <c r="C24" s="361" t="s">
        <v>30</v>
      </c>
      <c r="D24" s="355">
        <v>1242.75</v>
      </c>
      <c r="E24" s="346">
        <v>2022.65</v>
      </c>
      <c r="F24" s="400">
        <f t="shared" ref="F24:F26" si="6">D24*E24</f>
        <v>2513648.2875000001</v>
      </c>
      <c r="G24" s="450">
        <v>1242.75</v>
      </c>
      <c r="H24" s="125"/>
      <c r="I24" s="445">
        <f t="shared" ref="I24:I26" si="7">+G24+H24</f>
        <v>1242.75</v>
      </c>
      <c r="J24" s="446">
        <f t="shared" ref="J24:J26" si="8">I24/D24</f>
        <v>1</v>
      </c>
      <c r="K24" s="447">
        <f t="shared" ref="K24:K29" si="9">G24*E24</f>
        <v>2513648.2875000001</v>
      </c>
      <c r="L24" s="460"/>
      <c r="M24" s="448">
        <f t="shared" ref="M24:M30" si="10">K24+L24</f>
        <v>2513648.2875000001</v>
      </c>
    </row>
    <row r="25" spans="1:13">
      <c r="A25" s="443">
        <f t="shared" ref="A25:A29" si="11">A24+0.01</f>
        <v>3.0199999999999996</v>
      </c>
      <c r="B25" s="24" t="s">
        <v>411</v>
      </c>
      <c r="C25" s="345" t="s">
        <v>30</v>
      </c>
      <c r="D25" s="24">
        <v>456.75</v>
      </c>
      <c r="E25" s="467">
        <v>1750.88</v>
      </c>
      <c r="F25" s="400">
        <f t="shared" si="6"/>
        <v>799714.44000000006</v>
      </c>
      <c r="G25" s="468">
        <v>161.93431870000001</v>
      </c>
      <c r="H25" s="450">
        <f>D25-G25</f>
        <v>294.81568129999999</v>
      </c>
      <c r="I25" s="445">
        <f t="shared" si="7"/>
        <v>456.75</v>
      </c>
      <c r="J25" s="446">
        <f t="shared" si="8"/>
        <v>1</v>
      </c>
      <c r="K25" s="447">
        <f t="shared" si="9"/>
        <v>283527.55992545601</v>
      </c>
      <c r="L25" s="458">
        <f>H25*E25</f>
        <v>516186.88007454399</v>
      </c>
      <c r="M25" s="448">
        <f t="shared" si="10"/>
        <v>799714.44</v>
      </c>
    </row>
    <row r="26" spans="1:13">
      <c r="A26" s="443">
        <f t="shared" si="11"/>
        <v>3.0299999999999994</v>
      </c>
      <c r="B26" s="24" t="s">
        <v>412</v>
      </c>
      <c r="C26" s="345" t="s">
        <v>30</v>
      </c>
      <c r="D26" s="24">
        <v>427.5</v>
      </c>
      <c r="E26" s="467">
        <v>1575.77</v>
      </c>
      <c r="F26" s="400">
        <f t="shared" si="6"/>
        <v>673641.67500000005</v>
      </c>
      <c r="G26" s="453"/>
      <c r="H26" s="444">
        <v>325</v>
      </c>
      <c r="I26" s="445">
        <f t="shared" si="7"/>
        <v>325</v>
      </c>
      <c r="J26" s="446">
        <f t="shared" si="8"/>
        <v>0.76023391812865493</v>
      </c>
      <c r="K26" s="447"/>
      <c r="L26" s="458">
        <f t="shared" ref="L26:L29" si="12">H26*E26</f>
        <v>512125.25</v>
      </c>
      <c r="M26" s="448">
        <f t="shared" si="10"/>
        <v>512125.25</v>
      </c>
    </row>
    <row r="27" spans="1:13">
      <c r="A27" s="443">
        <f t="shared" si="11"/>
        <v>3.0399999999999991</v>
      </c>
      <c r="B27" s="355" t="s">
        <v>413</v>
      </c>
      <c r="C27" s="361" t="s">
        <v>45</v>
      </c>
      <c r="D27" s="355">
        <v>300</v>
      </c>
      <c r="E27" s="346">
        <v>3750</v>
      </c>
      <c r="F27" s="469">
        <f>+D27*E27</f>
        <v>1125000</v>
      </c>
      <c r="G27" s="444">
        <v>25</v>
      </c>
      <c r="H27" s="444">
        <v>225</v>
      </c>
      <c r="I27" s="445">
        <f>+G27+H27</f>
        <v>250</v>
      </c>
      <c r="J27" s="446">
        <f>I27/D27</f>
        <v>0.83333333333333337</v>
      </c>
      <c r="K27" s="447">
        <f t="shared" si="9"/>
        <v>93750</v>
      </c>
      <c r="L27" s="458">
        <f t="shared" si="12"/>
        <v>843750</v>
      </c>
      <c r="M27" s="448">
        <f t="shared" si="10"/>
        <v>937500</v>
      </c>
    </row>
    <row r="28" spans="1:13" ht="24.75">
      <c r="A28" s="443">
        <f t="shared" si="11"/>
        <v>3.0499999999999989</v>
      </c>
      <c r="B28" s="470" t="s">
        <v>414</v>
      </c>
      <c r="C28" s="471" t="s">
        <v>45</v>
      </c>
      <c r="D28" s="471">
        <v>1</v>
      </c>
      <c r="E28" s="472">
        <v>240588.04</v>
      </c>
      <c r="F28" s="472">
        <f>E28*D28</f>
        <v>240588.04</v>
      </c>
      <c r="G28" s="473">
        <v>0.45454545000000002</v>
      </c>
      <c r="H28" s="450">
        <f>D28-G28</f>
        <v>0.54545454999999998</v>
      </c>
      <c r="I28" s="474">
        <f>+G28+H28</f>
        <v>1</v>
      </c>
      <c r="J28" s="475">
        <f>I28/D28</f>
        <v>1</v>
      </c>
      <c r="K28" s="447">
        <f t="shared" si="9"/>
        <v>109358.19890641801</v>
      </c>
      <c r="L28" s="458">
        <f t="shared" si="12"/>
        <v>131229.84109358201</v>
      </c>
      <c r="M28" s="448">
        <f t="shared" si="10"/>
        <v>240588.04000000004</v>
      </c>
    </row>
    <row r="29" spans="1:13">
      <c r="A29" s="443">
        <f t="shared" si="11"/>
        <v>3.0599999999999987</v>
      </c>
      <c r="B29" s="470" t="s">
        <v>415</v>
      </c>
      <c r="C29" s="471" t="s">
        <v>45</v>
      </c>
      <c r="D29" s="471">
        <v>1</v>
      </c>
      <c r="E29" s="472">
        <v>99873.51</v>
      </c>
      <c r="F29" s="472">
        <f>E29*D29</f>
        <v>99873.51</v>
      </c>
      <c r="G29" s="473">
        <v>0.45454545000000002</v>
      </c>
      <c r="H29" s="450">
        <f>D29-G29</f>
        <v>0.54545454999999998</v>
      </c>
      <c r="I29" s="474">
        <f>+G29+H29</f>
        <v>1</v>
      </c>
      <c r="J29" s="475">
        <f>I29/D29</f>
        <v>1</v>
      </c>
      <c r="K29" s="447">
        <f t="shared" si="9"/>
        <v>45397.049546029499</v>
      </c>
      <c r="L29" s="458">
        <f t="shared" si="12"/>
        <v>54476.460453970496</v>
      </c>
      <c r="M29" s="448">
        <f t="shared" si="10"/>
        <v>99873.51</v>
      </c>
    </row>
    <row r="30" spans="1:13">
      <c r="A30" s="449"/>
      <c r="B30" s="452" t="s">
        <v>257</v>
      </c>
      <c r="C30" s="361"/>
      <c r="D30" s="355"/>
      <c r="E30" s="346"/>
      <c r="F30" s="403">
        <f>SUM(F24:F29)</f>
        <v>5452465.9524999997</v>
      </c>
      <c r="G30" s="453"/>
      <c r="H30" s="125"/>
      <c r="I30" s="125"/>
      <c r="J30" s="125"/>
      <c r="K30" s="454">
        <f>SUM(K24:K29)</f>
        <v>3045681.0958779035</v>
      </c>
      <c r="L30" s="460">
        <f>SUM(L25:L29)</f>
        <v>2057768.4316220966</v>
      </c>
      <c r="M30" s="460">
        <f t="shared" si="10"/>
        <v>5103449.5274999999</v>
      </c>
    </row>
    <row r="31" spans="1:13">
      <c r="A31" s="391">
        <v>4</v>
      </c>
      <c r="B31" s="476" t="s">
        <v>416</v>
      </c>
      <c r="C31" s="477"/>
      <c r="D31" s="477"/>
      <c r="E31" s="477"/>
      <c r="F31" s="477"/>
      <c r="G31" s="453"/>
      <c r="H31" s="125"/>
      <c r="I31" s="125"/>
      <c r="J31" s="125"/>
      <c r="K31" s="466"/>
      <c r="L31" s="460"/>
      <c r="M31" s="460"/>
    </row>
    <row r="32" spans="1:13" ht="15" customHeight="1">
      <c r="A32" s="449">
        <f t="shared" ref="A32:A48" si="13">A31+0.01</f>
        <v>4.01</v>
      </c>
      <c r="B32" s="470" t="s">
        <v>417</v>
      </c>
      <c r="C32" s="449" t="s">
        <v>78</v>
      </c>
      <c r="D32" s="449">
        <v>4</v>
      </c>
      <c r="E32" s="478">
        <v>2295</v>
      </c>
      <c r="F32" s="478">
        <f t="shared" ref="F32:F47" si="14">E32*D32</f>
        <v>9180</v>
      </c>
      <c r="G32" s="453"/>
      <c r="H32" s="479"/>
      <c r="I32" s="474"/>
      <c r="J32" s="475"/>
      <c r="K32" s="466"/>
      <c r="L32" s="458"/>
      <c r="M32" s="448"/>
    </row>
    <row r="33" spans="1:14" ht="12.75" customHeight="1">
      <c r="A33" s="480">
        <f t="shared" si="13"/>
        <v>4.0199999999999996</v>
      </c>
      <c r="B33" s="470" t="s">
        <v>418</v>
      </c>
      <c r="C33" s="449" t="s">
        <v>78</v>
      </c>
      <c r="D33" s="449">
        <v>2</v>
      </c>
      <c r="E33" s="478">
        <v>3570</v>
      </c>
      <c r="F33" s="478">
        <f t="shared" si="14"/>
        <v>7140</v>
      </c>
      <c r="G33" s="453"/>
      <c r="H33" s="479"/>
      <c r="I33" s="474"/>
      <c r="J33" s="475"/>
      <c r="K33" s="466"/>
      <c r="L33" s="458"/>
      <c r="M33" s="448"/>
    </row>
    <row r="34" spans="1:14">
      <c r="A34" s="480">
        <f t="shared" si="13"/>
        <v>4.0299999999999994</v>
      </c>
      <c r="B34" s="355" t="s">
        <v>419</v>
      </c>
      <c r="C34" s="449" t="s">
        <v>78</v>
      </c>
      <c r="D34" s="449">
        <v>2</v>
      </c>
      <c r="E34" s="481">
        <v>3841.78</v>
      </c>
      <c r="F34" s="478">
        <f t="shared" si="14"/>
        <v>7683.56</v>
      </c>
      <c r="G34" s="453"/>
      <c r="H34" s="479"/>
      <c r="I34" s="474"/>
      <c r="J34" s="475"/>
      <c r="K34" s="466"/>
      <c r="L34" s="458"/>
      <c r="M34" s="448"/>
    </row>
    <row r="35" spans="1:14" ht="24.75">
      <c r="A35" s="480">
        <f t="shared" si="13"/>
        <v>4.0399999999999991</v>
      </c>
      <c r="B35" s="470" t="s">
        <v>420</v>
      </c>
      <c r="C35" s="449" t="s">
        <v>78</v>
      </c>
      <c r="D35" s="449">
        <v>2</v>
      </c>
      <c r="E35" s="481">
        <v>59642.46</v>
      </c>
      <c r="F35" s="478">
        <f t="shared" si="14"/>
        <v>119284.92</v>
      </c>
      <c r="G35" s="453"/>
      <c r="H35" s="479"/>
      <c r="I35" s="474"/>
      <c r="J35" s="475"/>
      <c r="K35" s="466"/>
      <c r="L35" s="458"/>
      <c r="M35" s="448"/>
    </row>
    <row r="36" spans="1:14">
      <c r="A36" s="480">
        <f t="shared" si="13"/>
        <v>4.0499999999999989</v>
      </c>
      <c r="B36" s="355" t="s">
        <v>421</v>
      </c>
      <c r="C36" s="449" t="s">
        <v>78</v>
      </c>
      <c r="D36" s="449">
        <v>4</v>
      </c>
      <c r="E36" s="481">
        <v>2091</v>
      </c>
      <c r="F36" s="478">
        <f t="shared" si="14"/>
        <v>8364</v>
      </c>
      <c r="G36" s="453"/>
      <c r="H36" s="479"/>
      <c r="I36" s="474"/>
      <c r="J36" s="475"/>
      <c r="K36" s="466"/>
      <c r="L36" s="458"/>
      <c r="M36" s="448"/>
    </row>
    <row r="37" spans="1:14">
      <c r="A37" s="480">
        <f t="shared" si="13"/>
        <v>4.0599999999999987</v>
      </c>
      <c r="B37" s="355" t="s">
        <v>422</v>
      </c>
      <c r="C37" s="449" t="s">
        <v>78</v>
      </c>
      <c r="D37" s="449">
        <v>2</v>
      </c>
      <c r="E37" s="481">
        <v>3162</v>
      </c>
      <c r="F37" s="478">
        <f t="shared" si="14"/>
        <v>6324</v>
      </c>
      <c r="G37" s="453"/>
      <c r="H37" s="479"/>
      <c r="I37" s="474"/>
      <c r="J37" s="475"/>
      <c r="K37" s="466"/>
      <c r="L37" s="458"/>
      <c r="M37" s="448"/>
    </row>
    <row r="38" spans="1:14">
      <c r="A38" s="480">
        <f t="shared" si="13"/>
        <v>4.0699999999999985</v>
      </c>
      <c r="B38" s="355" t="s">
        <v>423</v>
      </c>
      <c r="C38" s="449" t="s">
        <v>78</v>
      </c>
      <c r="D38" s="449">
        <v>2</v>
      </c>
      <c r="E38" s="481">
        <v>2866.3009999999999</v>
      </c>
      <c r="F38" s="478">
        <f t="shared" si="14"/>
        <v>5732.6019999999999</v>
      </c>
      <c r="G38" s="453"/>
      <c r="H38" s="479"/>
      <c r="I38" s="474"/>
      <c r="J38" s="475"/>
      <c r="K38" s="466"/>
      <c r="L38" s="458"/>
      <c r="M38" s="448"/>
    </row>
    <row r="39" spans="1:14" ht="24.75">
      <c r="A39" s="480">
        <f t="shared" si="13"/>
        <v>4.0799999999999983</v>
      </c>
      <c r="B39" s="470" t="s">
        <v>424</v>
      </c>
      <c r="C39" s="449" t="s">
        <v>78</v>
      </c>
      <c r="D39" s="449">
        <v>1</v>
      </c>
      <c r="E39" s="481">
        <v>51894.541100000002</v>
      </c>
      <c r="F39" s="478">
        <f t="shared" si="14"/>
        <v>51894.541100000002</v>
      </c>
      <c r="G39" s="453"/>
      <c r="H39" s="479"/>
      <c r="I39" s="474"/>
      <c r="J39" s="475"/>
      <c r="K39" s="466"/>
      <c r="L39" s="458"/>
      <c r="M39" s="448"/>
      <c r="N39" s="232"/>
    </row>
    <row r="40" spans="1:14" ht="24.75">
      <c r="A40" s="480">
        <f t="shared" si="13"/>
        <v>4.0899999999999981</v>
      </c>
      <c r="B40" s="470" t="s">
        <v>425</v>
      </c>
      <c r="C40" s="449" t="s">
        <v>78</v>
      </c>
      <c r="D40" s="449">
        <v>14</v>
      </c>
      <c r="E40" s="481">
        <v>1785</v>
      </c>
      <c r="F40" s="478">
        <f t="shared" si="14"/>
        <v>24990</v>
      </c>
      <c r="G40" s="453"/>
      <c r="H40" s="479"/>
      <c r="I40" s="474"/>
      <c r="J40" s="475"/>
      <c r="K40" s="466"/>
      <c r="L40" s="458"/>
      <c r="M40" s="448"/>
      <c r="N40" s="234"/>
    </row>
    <row r="41" spans="1:14" ht="24.75">
      <c r="A41" s="480">
        <f t="shared" si="13"/>
        <v>4.0999999999999979</v>
      </c>
      <c r="B41" s="470" t="s">
        <v>426</v>
      </c>
      <c r="C41" s="449" t="s">
        <v>78</v>
      </c>
      <c r="D41" s="449">
        <v>6</v>
      </c>
      <c r="E41" s="481">
        <v>2550</v>
      </c>
      <c r="F41" s="478">
        <f t="shared" si="14"/>
        <v>15300</v>
      </c>
      <c r="G41" s="453"/>
      <c r="H41" s="479"/>
      <c r="I41" s="474"/>
      <c r="J41" s="475"/>
      <c r="K41" s="466"/>
      <c r="L41" s="458"/>
      <c r="M41" s="448"/>
      <c r="N41" s="314"/>
    </row>
    <row r="42" spans="1:14">
      <c r="A42" s="480">
        <f t="shared" si="13"/>
        <v>4.1099999999999977</v>
      </c>
      <c r="B42" s="355" t="s">
        <v>427</v>
      </c>
      <c r="C42" s="449" t="s">
        <v>78</v>
      </c>
      <c r="D42" s="449">
        <v>2</v>
      </c>
      <c r="E42" s="481">
        <v>2474.6210999999998</v>
      </c>
      <c r="F42" s="478">
        <f t="shared" si="14"/>
        <v>4949.2421999999997</v>
      </c>
      <c r="G42" s="453"/>
      <c r="H42" s="479"/>
      <c r="I42" s="474"/>
      <c r="J42" s="475"/>
      <c r="K42" s="466"/>
      <c r="L42" s="458"/>
      <c r="M42" s="448"/>
    </row>
    <row r="43" spans="1:14" ht="24.75">
      <c r="A43" s="480">
        <f t="shared" si="13"/>
        <v>4.1199999999999974</v>
      </c>
      <c r="B43" s="470" t="s">
        <v>428</v>
      </c>
      <c r="C43" s="449" t="s">
        <v>78</v>
      </c>
      <c r="D43" s="449">
        <v>2</v>
      </c>
      <c r="E43" s="481">
        <v>35586.78</v>
      </c>
      <c r="F43" s="478">
        <f t="shared" si="14"/>
        <v>71173.56</v>
      </c>
      <c r="G43" s="453"/>
      <c r="H43" s="479"/>
      <c r="I43" s="474"/>
      <c r="J43" s="475"/>
      <c r="K43" s="466"/>
      <c r="L43" s="458"/>
      <c r="M43" s="448"/>
    </row>
    <row r="44" spans="1:14" ht="36.75">
      <c r="A44" s="480">
        <f t="shared" si="13"/>
        <v>4.1299999999999972</v>
      </c>
      <c r="B44" s="470" t="s">
        <v>429</v>
      </c>
      <c r="C44" s="449" t="s">
        <v>78</v>
      </c>
      <c r="D44" s="449">
        <v>4</v>
      </c>
      <c r="E44" s="481">
        <v>13005</v>
      </c>
      <c r="F44" s="478">
        <f t="shared" si="14"/>
        <v>52020</v>
      </c>
      <c r="G44" s="453"/>
      <c r="H44" s="479"/>
      <c r="I44" s="474"/>
      <c r="J44" s="475"/>
      <c r="K44" s="466"/>
      <c r="L44" s="458"/>
      <c r="M44" s="448"/>
    </row>
    <row r="45" spans="1:14">
      <c r="A45" s="480">
        <f t="shared" si="13"/>
        <v>4.139999999999997</v>
      </c>
      <c r="B45" s="355" t="s">
        <v>430</v>
      </c>
      <c r="C45" s="449" t="s">
        <v>78</v>
      </c>
      <c r="D45" s="449">
        <v>8</v>
      </c>
      <c r="E45" s="481">
        <v>7701</v>
      </c>
      <c r="F45" s="478">
        <f t="shared" si="14"/>
        <v>61608</v>
      </c>
      <c r="G45" s="453"/>
      <c r="H45" s="479"/>
      <c r="I45" s="474"/>
      <c r="J45" s="475"/>
      <c r="K45" s="466"/>
      <c r="L45" s="458"/>
      <c r="M45" s="448"/>
    </row>
    <row r="46" spans="1:14">
      <c r="A46" s="480">
        <f t="shared" si="13"/>
        <v>4.1499999999999968</v>
      </c>
      <c r="B46" s="355" t="s">
        <v>431</v>
      </c>
      <c r="C46" s="449" t="s">
        <v>78</v>
      </c>
      <c r="D46" s="449">
        <v>10</v>
      </c>
      <c r="E46" s="481">
        <v>6069</v>
      </c>
      <c r="F46" s="478">
        <f t="shared" si="14"/>
        <v>60690</v>
      </c>
      <c r="G46" s="453"/>
      <c r="H46" s="479"/>
      <c r="I46" s="474"/>
      <c r="J46" s="475"/>
      <c r="K46" s="466"/>
      <c r="L46" s="458"/>
      <c r="M46" s="448"/>
    </row>
    <row r="47" spans="1:14">
      <c r="A47" s="482">
        <f t="shared" si="13"/>
        <v>4.1599999999999966</v>
      </c>
      <c r="B47" s="483" t="s">
        <v>432</v>
      </c>
      <c r="C47" s="484" t="s">
        <v>78</v>
      </c>
      <c r="D47" s="484">
        <v>16</v>
      </c>
      <c r="E47" s="485">
        <v>3544.5</v>
      </c>
      <c r="F47" s="486">
        <f t="shared" si="14"/>
        <v>56712</v>
      </c>
      <c r="G47" s="453"/>
      <c r="H47" s="487"/>
      <c r="I47" s="474"/>
      <c r="J47" s="475"/>
      <c r="K47" s="466"/>
      <c r="L47" s="458"/>
      <c r="M47" s="448"/>
    </row>
    <row r="48" spans="1:14">
      <c r="A48" s="482">
        <f t="shared" si="13"/>
        <v>4.1699999999999964</v>
      </c>
      <c r="B48" s="488" t="s">
        <v>257</v>
      </c>
      <c r="C48" s="489" t="s">
        <v>433</v>
      </c>
      <c r="D48" s="490"/>
      <c r="E48" s="490"/>
      <c r="F48" s="491">
        <f>SUM(F32:F47)</f>
        <v>563046.4253</v>
      </c>
      <c r="G48" s="453"/>
      <c r="H48" s="125"/>
      <c r="I48" s="125"/>
      <c r="J48" s="125"/>
      <c r="K48" s="466"/>
      <c r="L48" s="460"/>
      <c r="M48" s="460"/>
    </row>
    <row r="49" spans="1:23">
      <c r="A49" s="492">
        <v>5</v>
      </c>
      <c r="B49" s="23" t="s">
        <v>434</v>
      </c>
      <c r="C49" s="23"/>
      <c r="D49" s="23"/>
      <c r="E49" s="23"/>
      <c r="F49" s="23"/>
      <c r="G49" s="453"/>
      <c r="H49" s="125"/>
      <c r="I49" s="125"/>
      <c r="J49" s="125"/>
      <c r="K49" s="466"/>
      <c r="L49" s="460"/>
      <c r="M49" s="460"/>
    </row>
    <row r="50" spans="1:23">
      <c r="A50" s="480">
        <f>A49+0.01</f>
        <v>5.01</v>
      </c>
      <c r="B50" s="355" t="s">
        <v>435</v>
      </c>
      <c r="C50" s="449" t="s">
        <v>78</v>
      </c>
      <c r="D50" s="449">
        <v>10</v>
      </c>
      <c r="E50" s="493">
        <v>5322.3289999999997</v>
      </c>
      <c r="F50" s="478">
        <f>E50*D50</f>
        <v>53223.289999999994</v>
      </c>
      <c r="G50" s="453"/>
      <c r="H50" s="494">
        <v>8</v>
      </c>
      <c r="I50" s="474">
        <f t="shared" ref="I50" si="15">+G50+H50</f>
        <v>8</v>
      </c>
      <c r="J50" s="475">
        <f t="shared" ref="J50" si="16">I50/D50</f>
        <v>0.8</v>
      </c>
      <c r="K50" s="466"/>
      <c r="L50" s="458">
        <f t="shared" ref="L50" si="17">H50*E50</f>
        <v>42578.631999999998</v>
      </c>
      <c r="M50" s="448">
        <f t="shared" ref="M50" si="18">K50+L50</f>
        <v>42578.631999999998</v>
      </c>
    </row>
    <row r="51" spans="1:23">
      <c r="A51" s="480">
        <f>A50+0.01</f>
        <v>5.0199999999999996</v>
      </c>
      <c r="B51" s="452" t="s">
        <v>257</v>
      </c>
      <c r="C51" s="355"/>
      <c r="D51" s="355"/>
      <c r="E51" s="355"/>
      <c r="F51" s="495">
        <f>SUM(F50)</f>
        <v>53223.289999999994</v>
      </c>
      <c r="G51" s="453"/>
      <c r="H51" s="125"/>
      <c r="I51" s="125"/>
      <c r="J51" s="125"/>
      <c r="K51" s="466"/>
      <c r="L51" s="460">
        <f>SUM(L50)</f>
        <v>42578.631999999998</v>
      </c>
      <c r="M51" s="460">
        <f>SUM(M50)</f>
        <v>42578.631999999998</v>
      </c>
    </row>
    <row r="52" spans="1:23" ht="26.25">
      <c r="A52" s="456" t="s">
        <v>436</v>
      </c>
      <c r="B52" s="496" t="s">
        <v>437</v>
      </c>
      <c r="C52" s="440"/>
      <c r="D52" s="441"/>
      <c r="E52" s="441"/>
      <c r="F52" s="497"/>
      <c r="G52" s="453"/>
      <c r="H52" s="125"/>
      <c r="I52" s="125"/>
      <c r="J52" s="125"/>
      <c r="K52" s="466"/>
      <c r="L52" s="460"/>
      <c r="M52" s="460"/>
    </row>
    <row r="53" spans="1:23">
      <c r="A53" s="492">
        <v>1</v>
      </c>
      <c r="B53" s="439" t="s">
        <v>28</v>
      </c>
      <c r="C53" s="440"/>
      <c r="D53" s="441"/>
      <c r="E53" s="441"/>
      <c r="F53" s="497"/>
      <c r="G53" s="453"/>
      <c r="H53" s="125"/>
      <c r="I53" s="125"/>
      <c r="J53" s="125"/>
      <c r="K53" s="466"/>
      <c r="L53" s="460"/>
      <c r="M53" s="460"/>
    </row>
    <row r="54" spans="1:23">
      <c r="A54" s="480">
        <f>A53+0.01</f>
        <v>1.01</v>
      </c>
      <c r="B54" s="355" t="s">
        <v>29</v>
      </c>
      <c r="C54" s="373" t="s">
        <v>30</v>
      </c>
      <c r="D54" s="400">
        <v>2362.5</v>
      </c>
      <c r="E54" s="400">
        <v>143.49</v>
      </c>
      <c r="F54" s="400">
        <f t="shared" ref="F54:F57" si="19">D54*E54</f>
        <v>338995.125</v>
      </c>
      <c r="G54" s="498">
        <v>2000</v>
      </c>
      <c r="H54" s="125"/>
      <c r="I54" s="474">
        <f>+G54+H54</f>
        <v>2000</v>
      </c>
      <c r="J54" s="475">
        <f t="shared" ref="J54:J57" si="20">I54/D54</f>
        <v>0.84656084656084651</v>
      </c>
      <c r="K54" s="447">
        <f>G54*E54</f>
        <v>286980</v>
      </c>
      <c r="L54" s="458"/>
      <c r="M54" s="499">
        <f t="shared" ref="M54:M65" si="21">K54+L54</f>
        <v>286980</v>
      </c>
      <c r="N54" s="264"/>
      <c r="O54" s="500"/>
      <c r="P54" s="501"/>
      <c r="Q54" s="502"/>
      <c r="R54" s="502"/>
      <c r="S54" s="502"/>
      <c r="T54" s="503"/>
      <c r="U54" s="503"/>
      <c r="V54" s="503"/>
      <c r="W54" s="504"/>
    </row>
    <row r="55" spans="1:23">
      <c r="A55" s="480">
        <f t="shared" ref="A55:A58" si="22">A54+0.01</f>
        <v>1.02</v>
      </c>
      <c r="B55" s="355" t="s">
        <v>403</v>
      </c>
      <c r="C55" s="373" t="s">
        <v>78</v>
      </c>
      <c r="D55" s="80">
        <v>1</v>
      </c>
      <c r="E55" s="400">
        <v>30000</v>
      </c>
      <c r="F55" s="400">
        <f>D55*E55</f>
        <v>30000</v>
      </c>
      <c r="G55" s="444">
        <v>1</v>
      </c>
      <c r="H55" s="125"/>
      <c r="I55" s="474">
        <f>+G55+H55</f>
        <v>1</v>
      </c>
      <c r="J55" s="475">
        <f t="shared" si="20"/>
        <v>1</v>
      </c>
      <c r="K55" s="447">
        <f t="shared" ref="K55:K57" si="23">G55*E55</f>
        <v>30000</v>
      </c>
      <c r="L55" s="460"/>
      <c r="M55" s="499">
        <f t="shared" si="21"/>
        <v>30000</v>
      </c>
      <c r="N55" s="113"/>
      <c r="O55" s="500"/>
      <c r="P55" s="501"/>
      <c r="Q55" s="502"/>
      <c r="R55" s="502"/>
      <c r="S55" s="502"/>
      <c r="T55" s="503"/>
      <c r="U55" s="503"/>
      <c r="V55" s="503"/>
      <c r="W55" s="504"/>
    </row>
    <row r="56" spans="1:23">
      <c r="A56" s="480">
        <f t="shared" si="22"/>
        <v>1.03</v>
      </c>
      <c r="B56" s="355" t="s">
        <v>404</v>
      </c>
      <c r="C56" s="373" t="s">
        <v>30</v>
      </c>
      <c r="D56" s="400">
        <v>4725</v>
      </c>
      <c r="E56" s="400">
        <v>85</v>
      </c>
      <c r="F56" s="400">
        <f t="shared" si="19"/>
        <v>401625</v>
      </c>
      <c r="G56" s="444">
        <v>1800</v>
      </c>
      <c r="H56" s="125"/>
      <c r="I56" s="474">
        <f t="shared" ref="I56:I57" si="24">+G56+H56</f>
        <v>1800</v>
      </c>
      <c r="J56" s="475">
        <f t="shared" si="20"/>
        <v>0.38095238095238093</v>
      </c>
      <c r="K56" s="447">
        <f t="shared" si="23"/>
        <v>153000</v>
      </c>
      <c r="L56" s="460"/>
      <c r="M56" s="499">
        <f t="shared" si="21"/>
        <v>153000</v>
      </c>
      <c r="N56" s="101"/>
      <c r="O56" s="232"/>
      <c r="P56" s="233"/>
      <c r="Q56" s="505"/>
      <c r="R56" s="505"/>
      <c r="S56" s="505"/>
      <c r="T56" s="503"/>
      <c r="U56" s="503"/>
      <c r="V56" s="503"/>
      <c r="W56" s="506"/>
    </row>
    <row r="57" spans="1:23">
      <c r="A57" s="480">
        <f t="shared" si="22"/>
        <v>1.04</v>
      </c>
      <c r="B57" s="355" t="s">
        <v>405</v>
      </c>
      <c r="C57" s="361" t="s">
        <v>30</v>
      </c>
      <c r="D57" s="400">
        <v>2362.5</v>
      </c>
      <c r="E57" s="346">
        <v>25</v>
      </c>
      <c r="F57" s="400">
        <f t="shared" si="19"/>
        <v>59062.5</v>
      </c>
      <c r="G57" s="444">
        <v>2000</v>
      </c>
      <c r="H57" s="125"/>
      <c r="I57" s="474">
        <f t="shared" si="24"/>
        <v>2000</v>
      </c>
      <c r="J57" s="475">
        <f t="shared" si="20"/>
        <v>0.84656084656084651</v>
      </c>
      <c r="K57" s="447">
        <f t="shared" si="23"/>
        <v>50000</v>
      </c>
      <c r="L57" s="460"/>
      <c r="M57" s="499">
        <f t="shared" si="21"/>
        <v>50000</v>
      </c>
      <c r="N57" s="101"/>
      <c r="O57" s="232"/>
      <c r="P57" s="233"/>
      <c r="Q57" s="505"/>
      <c r="R57" s="505"/>
      <c r="S57" s="505"/>
      <c r="T57" s="503"/>
      <c r="U57" s="503"/>
      <c r="V57" s="503"/>
      <c r="W57" s="506"/>
    </row>
    <row r="58" spans="1:23">
      <c r="A58" s="480">
        <f t="shared" si="22"/>
        <v>1.05</v>
      </c>
      <c r="B58" s="452" t="s">
        <v>257</v>
      </c>
      <c r="C58" s="361"/>
      <c r="D58" s="346"/>
      <c r="E58" s="346"/>
      <c r="F58" s="507">
        <f>SUM(F54:F57)</f>
        <v>829682.625</v>
      </c>
      <c r="G58" s="508"/>
      <c r="H58" s="125"/>
      <c r="I58" s="125"/>
      <c r="J58" s="125"/>
      <c r="K58" s="454">
        <f>SUM(K54:K57)</f>
        <v>519980</v>
      </c>
      <c r="L58" s="460"/>
      <c r="M58" s="499">
        <f t="shared" si="21"/>
        <v>519980</v>
      </c>
      <c r="N58" s="101"/>
      <c r="O58" s="232"/>
      <c r="P58" s="509"/>
      <c r="Q58" s="274"/>
      <c r="R58" s="274"/>
      <c r="S58" s="505"/>
      <c r="T58" s="503"/>
      <c r="U58" s="503"/>
      <c r="V58" s="503"/>
      <c r="W58" s="506"/>
    </row>
    <row r="59" spans="1:23">
      <c r="A59" s="492">
        <v>2</v>
      </c>
      <c r="B59" s="510" t="s">
        <v>406</v>
      </c>
      <c r="C59" s="361"/>
      <c r="D59" s="355"/>
      <c r="E59" s="355"/>
      <c r="F59" s="355"/>
      <c r="G59" s="453"/>
      <c r="H59" s="125"/>
      <c r="I59" s="125"/>
      <c r="J59" s="125"/>
      <c r="K59" s="466"/>
      <c r="L59" s="460"/>
      <c r="M59" s="499"/>
      <c r="N59" s="101"/>
      <c r="O59" s="118"/>
      <c r="P59" s="509"/>
      <c r="Q59" s="274"/>
      <c r="R59" s="274"/>
      <c r="S59" s="511"/>
      <c r="T59" s="503"/>
      <c r="U59" s="503"/>
      <c r="V59" s="503"/>
      <c r="W59" s="504"/>
    </row>
    <row r="60" spans="1:23">
      <c r="A60" s="480">
        <f>A59+0.01</f>
        <v>2.0099999999999998</v>
      </c>
      <c r="B60" s="512" t="s">
        <v>35</v>
      </c>
      <c r="C60" s="361" t="s">
        <v>36</v>
      </c>
      <c r="D60" s="346">
        <v>1701</v>
      </c>
      <c r="E60" s="513">
        <v>562.31069958</v>
      </c>
      <c r="F60" s="400">
        <f t="shared" ref="F60:F64" si="25">D60*E60</f>
        <v>956490.49998557998</v>
      </c>
      <c r="G60" s="514">
        <v>1387.9982731600001</v>
      </c>
      <c r="H60" s="515"/>
      <c r="I60" s="474">
        <f t="shared" ref="I60:I61" si="26">+G60+H60</f>
        <v>1387.9982731600001</v>
      </c>
      <c r="J60" s="475">
        <f t="shared" ref="J60:J64" si="27">I60/D60</f>
        <v>0.81598957857730747</v>
      </c>
      <c r="K60" s="447">
        <f>G60*E60</f>
        <v>780486.27999643155</v>
      </c>
      <c r="L60" s="458"/>
      <c r="M60" s="499">
        <f t="shared" si="21"/>
        <v>780486.27999643155</v>
      </c>
      <c r="N60" s="113"/>
      <c r="O60" s="112"/>
      <c r="P60" s="509"/>
      <c r="Q60" s="274"/>
      <c r="R60" s="274"/>
      <c r="S60" s="274"/>
      <c r="T60" s="503"/>
      <c r="U60" s="503"/>
      <c r="V60" s="503"/>
      <c r="W60" s="504"/>
    </row>
    <row r="61" spans="1:23">
      <c r="A61" s="480">
        <f t="shared" ref="A61:A63" si="28">A60+0.01</f>
        <v>2.0199999999999996</v>
      </c>
      <c r="B61" s="512" t="s">
        <v>171</v>
      </c>
      <c r="C61" s="361" t="s">
        <v>36</v>
      </c>
      <c r="D61" s="461">
        <v>141.75</v>
      </c>
      <c r="E61" s="464">
        <v>2715.8200352700001</v>
      </c>
      <c r="F61" s="400">
        <f t="shared" si="25"/>
        <v>384967.48999952251</v>
      </c>
      <c r="G61" s="444">
        <v>191.28</v>
      </c>
      <c r="H61" s="444"/>
      <c r="I61" s="474">
        <f t="shared" si="26"/>
        <v>191.28</v>
      </c>
      <c r="J61" s="475">
        <f t="shared" si="27"/>
        <v>1.3494179894179894</v>
      </c>
      <c r="K61" s="447">
        <f>G61*2715.82</f>
        <v>519482.04960000003</v>
      </c>
      <c r="L61" s="458"/>
      <c r="M61" s="499">
        <f t="shared" si="21"/>
        <v>519482.04960000003</v>
      </c>
      <c r="N61" s="111"/>
      <c r="O61" s="232"/>
      <c r="P61" s="509"/>
      <c r="Q61" s="274"/>
      <c r="R61" s="274"/>
      <c r="S61" s="505"/>
      <c r="T61" s="503"/>
      <c r="U61" s="503"/>
      <c r="V61" s="503"/>
      <c r="W61" s="506"/>
    </row>
    <row r="62" spans="1:23">
      <c r="A62" s="480">
        <f t="shared" si="28"/>
        <v>2.0299999999999994</v>
      </c>
      <c r="B62" s="512" t="s">
        <v>39</v>
      </c>
      <c r="C62" s="361" t="s">
        <v>36</v>
      </c>
      <c r="D62" s="346">
        <v>737.1</v>
      </c>
      <c r="E62" s="355">
        <v>504.28499525159998</v>
      </c>
      <c r="F62" s="516">
        <f t="shared" si="25"/>
        <v>371708.46999995434</v>
      </c>
      <c r="G62" s="444">
        <v>356.4</v>
      </c>
      <c r="H62" s="444"/>
      <c r="I62" s="474">
        <f>+G62+H62</f>
        <v>356.4</v>
      </c>
      <c r="J62" s="475">
        <f t="shared" si="27"/>
        <v>0.48351648351648346</v>
      </c>
      <c r="K62" s="447">
        <f>G62*504.29</f>
        <v>179728.95600000001</v>
      </c>
      <c r="L62" s="460"/>
      <c r="M62" s="499">
        <f t="shared" si="21"/>
        <v>179728.95600000001</v>
      </c>
      <c r="N62" s="111"/>
      <c r="O62" s="118"/>
      <c r="P62" s="509"/>
      <c r="Q62" s="274"/>
      <c r="R62" s="274"/>
      <c r="S62" s="517"/>
      <c r="T62" s="503"/>
      <c r="U62" s="503"/>
      <c r="V62" s="503"/>
      <c r="W62" s="504"/>
    </row>
    <row r="63" spans="1:23">
      <c r="A63" s="480">
        <f t="shared" si="28"/>
        <v>2.0399999999999991</v>
      </c>
      <c r="B63" s="512" t="s">
        <v>407</v>
      </c>
      <c r="C63" s="361" t="s">
        <v>36</v>
      </c>
      <c r="D63" s="346">
        <v>1417.5</v>
      </c>
      <c r="E63" s="518">
        <v>719.98436409999999</v>
      </c>
      <c r="F63" s="516">
        <f t="shared" si="25"/>
        <v>1020577.83611175</v>
      </c>
      <c r="G63" s="444">
        <v>1195.1500000000001</v>
      </c>
      <c r="H63" s="519"/>
      <c r="I63" s="474">
        <f t="shared" ref="I63:I64" si="29">+G63+H63</f>
        <v>1195.1500000000001</v>
      </c>
      <c r="J63" s="475">
        <f t="shared" si="27"/>
        <v>0.84313932980599648</v>
      </c>
      <c r="K63" s="447">
        <f>G63*719.98</f>
        <v>860484.09700000007</v>
      </c>
      <c r="L63" s="460"/>
      <c r="M63" s="499">
        <f t="shared" si="21"/>
        <v>860484.09700000007</v>
      </c>
      <c r="N63" s="113"/>
      <c r="O63" s="112"/>
      <c r="P63" s="509"/>
      <c r="Q63" s="232"/>
      <c r="R63" s="232"/>
      <c r="S63" s="232"/>
      <c r="T63" s="503"/>
      <c r="U63" s="503"/>
      <c r="V63" s="503"/>
      <c r="W63" s="504"/>
    </row>
    <row r="64" spans="1:23">
      <c r="A64" s="480"/>
      <c r="B64" s="355" t="s">
        <v>438</v>
      </c>
      <c r="C64" s="361" t="s">
        <v>409</v>
      </c>
      <c r="D64" s="459">
        <v>300</v>
      </c>
      <c r="E64" s="346">
        <v>2400</v>
      </c>
      <c r="F64" s="400">
        <f t="shared" si="25"/>
        <v>720000</v>
      </c>
      <c r="G64" s="453"/>
      <c r="H64" s="450">
        <v>180</v>
      </c>
      <c r="I64" s="474">
        <f t="shared" si="29"/>
        <v>180</v>
      </c>
      <c r="J64" s="475">
        <f t="shared" si="27"/>
        <v>0.6</v>
      </c>
      <c r="K64" s="466"/>
      <c r="L64" s="458">
        <f t="shared" ref="L64" si="30">H64*E64</f>
        <v>432000</v>
      </c>
      <c r="M64" s="499">
        <f t="shared" si="21"/>
        <v>432000</v>
      </c>
      <c r="N64" s="111"/>
      <c r="O64" s="232"/>
      <c r="P64" s="509"/>
      <c r="Q64" s="274"/>
      <c r="R64" s="232"/>
      <c r="S64" s="505"/>
      <c r="T64" s="503"/>
      <c r="U64" s="503"/>
      <c r="V64" s="503"/>
      <c r="W64" s="506"/>
    </row>
    <row r="65" spans="1:23">
      <c r="A65" s="480">
        <f>A63+0.01</f>
        <v>2.0499999999999989</v>
      </c>
      <c r="B65" s="452" t="s">
        <v>257</v>
      </c>
      <c r="C65" s="361"/>
      <c r="D65" s="355"/>
      <c r="E65" s="355"/>
      <c r="F65" s="403">
        <f>SUM(F60:F64)</f>
        <v>3453744.2960968069</v>
      </c>
      <c r="G65" s="453"/>
      <c r="H65" s="453"/>
      <c r="I65" s="125"/>
      <c r="J65" s="125"/>
      <c r="K65" s="454">
        <f>SUM(K60:K64)</f>
        <v>2340181.3825964313</v>
      </c>
      <c r="L65" s="460">
        <f>SUM(L60:L64)</f>
        <v>432000</v>
      </c>
      <c r="M65" s="520">
        <f t="shared" si="21"/>
        <v>2772181.3825964313</v>
      </c>
      <c r="N65" s="111"/>
      <c r="O65" s="232"/>
      <c r="P65" s="509"/>
      <c r="Q65" s="274"/>
      <c r="R65" s="232"/>
      <c r="S65" s="505"/>
      <c r="T65" s="503"/>
      <c r="U65" s="503"/>
      <c r="V65" s="503"/>
      <c r="W65" s="506"/>
    </row>
    <row r="66" spans="1:23">
      <c r="A66" s="492">
        <v>3</v>
      </c>
      <c r="B66" s="510" t="s">
        <v>40</v>
      </c>
      <c r="C66" s="361"/>
      <c r="D66" s="346"/>
      <c r="E66" s="346"/>
      <c r="F66" s="521"/>
      <c r="G66" s="453"/>
      <c r="H66" s="453"/>
      <c r="I66" s="125"/>
      <c r="J66" s="125"/>
      <c r="K66" s="466"/>
      <c r="L66" s="460"/>
      <c r="M66" s="522"/>
      <c r="N66" s="111"/>
      <c r="O66" s="232"/>
      <c r="P66" s="509"/>
      <c r="Q66" s="274"/>
      <c r="R66" s="232"/>
      <c r="S66" s="505"/>
      <c r="T66" s="503"/>
      <c r="U66" s="503"/>
      <c r="V66" s="503"/>
      <c r="W66" s="506"/>
    </row>
    <row r="67" spans="1:23">
      <c r="A67" s="480">
        <f>A66+0.01</f>
        <v>3.01</v>
      </c>
      <c r="B67" s="512" t="s">
        <v>439</v>
      </c>
      <c r="C67" s="361" t="s">
        <v>30</v>
      </c>
      <c r="D67" s="346">
        <v>2362.5</v>
      </c>
      <c r="E67" s="346">
        <v>2022.65</v>
      </c>
      <c r="F67" s="400">
        <f t="shared" ref="F67" si="31">D67*E67</f>
        <v>4778510.625</v>
      </c>
      <c r="G67" s="444">
        <v>2000</v>
      </c>
      <c r="H67" s="444">
        <v>150</v>
      </c>
      <c r="I67" s="474">
        <f t="shared" ref="I67" si="32">+G67+H67</f>
        <v>2150</v>
      </c>
      <c r="J67" s="475">
        <f t="shared" ref="J67" si="33">I67/D67</f>
        <v>0.91005291005291</v>
      </c>
      <c r="K67" s="447">
        <f t="shared" ref="K67" si="34">G67*E67</f>
        <v>4045300</v>
      </c>
      <c r="L67" s="458">
        <f t="shared" ref="L67" si="35">H67*E67</f>
        <v>303397.5</v>
      </c>
      <c r="M67" s="499">
        <f t="shared" ref="M67:M70" si="36">K67+L67</f>
        <v>4348697.5</v>
      </c>
      <c r="N67" s="111"/>
      <c r="O67" s="232"/>
      <c r="P67" s="509"/>
      <c r="Q67" s="274"/>
      <c r="R67" s="232"/>
      <c r="S67" s="505"/>
      <c r="T67" s="503"/>
      <c r="U67" s="503"/>
      <c r="V67" s="503"/>
      <c r="W67" s="506"/>
    </row>
    <row r="68" spans="1:23" ht="24.75">
      <c r="A68" s="480">
        <f>A67+0.01</f>
        <v>3.0199999999999996</v>
      </c>
      <c r="B68" s="523" t="s">
        <v>440</v>
      </c>
      <c r="C68" s="524" t="s">
        <v>78</v>
      </c>
      <c r="D68" s="525">
        <v>1</v>
      </c>
      <c r="E68" s="524">
        <v>493697.17</v>
      </c>
      <c r="F68" s="525">
        <f>D68*E68</f>
        <v>493697.17</v>
      </c>
      <c r="G68" s="453"/>
      <c r="H68" s="125"/>
      <c r="I68" s="125"/>
      <c r="J68" s="125"/>
      <c r="K68" s="466"/>
      <c r="L68" s="460"/>
      <c r="M68" s="499"/>
      <c r="N68" s="111"/>
      <c r="O68" s="118"/>
      <c r="P68" s="509"/>
      <c r="Q68" s="232"/>
      <c r="R68" s="232"/>
      <c r="S68" s="517"/>
      <c r="T68" s="503"/>
      <c r="U68" s="503"/>
      <c r="V68" s="503"/>
      <c r="W68" s="503"/>
    </row>
    <row r="69" spans="1:23" ht="24.75">
      <c r="A69" s="480">
        <f>A68+0.01</f>
        <v>3.0299999999999994</v>
      </c>
      <c r="B69" s="523" t="s">
        <v>441</v>
      </c>
      <c r="C69" s="524" t="s">
        <v>78</v>
      </c>
      <c r="D69" s="525">
        <v>1</v>
      </c>
      <c r="E69" s="526">
        <v>287575.989</v>
      </c>
      <c r="F69" s="525">
        <f>D69*E69</f>
        <v>287575.989</v>
      </c>
      <c r="G69" s="453"/>
      <c r="H69" s="125"/>
      <c r="I69" s="125"/>
      <c r="J69" s="125"/>
      <c r="K69" s="466"/>
      <c r="L69" s="460"/>
      <c r="M69" s="448"/>
    </row>
    <row r="70" spans="1:23">
      <c r="A70" s="480"/>
      <c r="B70" s="452" t="s">
        <v>257</v>
      </c>
      <c r="C70" s="361"/>
      <c r="D70" s="355"/>
      <c r="E70" s="355"/>
      <c r="F70" s="403">
        <f>SUM(F66:F69)</f>
        <v>5559783.784</v>
      </c>
      <c r="G70" s="453"/>
      <c r="H70" s="125"/>
      <c r="I70" s="125"/>
      <c r="J70" s="125"/>
      <c r="K70" s="454">
        <f>SUM(K67:K69)</f>
        <v>4045300</v>
      </c>
      <c r="L70" s="460">
        <f>SUM(L67:L69)</f>
        <v>303397.5</v>
      </c>
      <c r="M70" s="455">
        <f t="shared" si="36"/>
        <v>4348697.5</v>
      </c>
    </row>
    <row r="71" spans="1:23">
      <c r="A71" s="391">
        <v>4</v>
      </c>
      <c r="B71" s="476" t="s">
        <v>416</v>
      </c>
      <c r="C71" s="477"/>
      <c r="D71" s="477"/>
      <c r="E71" s="477"/>
      <c r="F71" s="477"/>
      <c r="G71" s="453"/>
      <c r="H71" s="125"/>
      <c r="I71" s="125"/>
      <c r="J71" s="125"/>
      <c r="K71" s="466"/>
      <c r="L71" s="460"/>
      <c r="M71" s="460"/>
    </row>
    <row r="72" spans="1:23" ht="18" customHeight="1">
      <c r="A72" s="449">
        <f t="shared" ref="A72:A78" si="37">A71+0.01</f>
        <v>4.01</v>
      </c>
      <c r="B72" s="470" t="s">
        <v>417</v>
      </c>
      <c r="C72" s="449" t="s">
        <v>78</v>
      </c>
      <c r="D72" s="361">
        <v>8</v>
      </c>
      <c r="E72" s="478">
        <v>2295</v>
      </c>
      <c r="F72" s="478">
        <f t="shared" ref="F72:F77" si="38">E72*D72</f>
        <v>18360</v>
      </c>
      <c r="G72" s="453"/>
      <c r="H72" s="444">
        <v>8</v>
      </c>
      <c r="I72" s="474">
        <f t="shared" ref="I72:I80" si="39">+G72+H72</f>
        <v>8</v>
      </c>
      <c r="J72" s="475">
        <f t="shared" ref="J72:J80" si="40">I72/D72</f>
        <v>1</v>
      </c>
      <c r="K72" s="466"/>
      <c r="L72" s="458">
        <f t="shared" ref="L72:L80" si="41">H72*E72</f>
        <v>18360</v>
      </c>
      <c r="M72" s="448">
        <f t="shared" ref="M72:M81" si="42">K72+L72</f>
        <v>18360</v>
      </c>
    </row>
    <row r="73" spans="1:23" ht="15" customHeight="1">
      <c r="A73" s="480">
        <f t="shared" si="37"/>
        <v>4.0199999999999996</v>
      </c>
      <c r="B73" s="470" t="s">
        <v>418</v>
      </c>
      <c r="C73" s="449" t="s">
        <v>78</v>
      </c>
      <c r="D73" s="361">
        <v>2</v>
      </c>
      <c r="E73" s="478">
        <v>3570</v>
      </c>
      <c r="F73" s="478">
        <f t="shared" si="38"/>
        <v>7140</v>
      </c>
      <c r="G73" s="453"/>
      <c r="H73" s="444"/>
      <c r="I73" s="474">
        <f t="shared" si="39"/>
        <v>0</v>
      </c>
      <c r="J73" s="475">
        <f t="shared" si="40"/>
        <v>0</v>
      </c>
      <c r="K73" s="466"/>
      <c r="L73" s="458"/>
      <c r="M73" s="448"/>
    </row>
    <row r="74" spans="1:23">
      <c r="A74" s="480">
        <f t="shared" si="37"/>
        <v>4.0299999999999994</v>
      </c>
      <c r="B74" s="355" t="s">
        <v>419</v>
      </c>
      <c r="C74" s="449" t="s">
        <v>78</v>
      </c>
      <c r="D74" s="361">
        <v>4</v>
      </c>
      <c r="E74" s="481">
        <v>3841.78</v>
      </c>
      <c r="F74" s="478">
        <f t="shared" si="38"/>
        <v>15367.12</v>
      </c>
      <c r="G74" s="453"/>
      <c r="H74" s="444">
        <v>4</v>
      </c>
      <c r="I74" s="474">
        <f t="shared" si="39"/>
        <v>4</v>
      </c>
      <c r="J74" s="475">
        <f t="shared" si="40"/>
        <v>1</v>
      </c>
      <c r="K74" s="466"/>
      <c r="L74" s="458">
        <f t="shared" si="41"/>
        <v>15367.12</v>
      </c>
      <c r="M74" s="448">
        <f t="shared" si="42"/>
        <v>15367.12</v>
      </c>
    </row>
    <row r="75" spans="1:23" ht="24.75">
      <c r="A75" s="480">
        <f t="shared" si="37"/>
        <v>4.0399999999999991</v>
      </c>
      <c r="B75" s="470" t="s">
        <v>420</v>
      </c>
      <c r="C75" s="449" t="s">
        <v>78</v>
      </c>
      <c r="D75" s="361">
        <v>2</v>
      </c>
      <c r="E75" s="481">
        <v>59642.46</v>
      </c>
      <c r="F75" s="478">
        <f t="shared" si="38"/>
        <v>119284.92</v>
      </c>
      <c r="G75" s="453"/>
      <c r="H75" s="444">
        <v>1</v>
      </c>
      <c r="I75" s="474">
        <f t="shared" si="39"/>
        <v>1</v>
      </c>
      <c r="J75" s="475">
        <f t="shared" si="40"/>
        <v>0.5</v>
      </c>
      <c r="K75" s="466"/>
      <c r="L75" s="458">
        <f t="shared" si="41"/>
        <v>59642.46</v>
      </c>
      <c r="M75" s="448">
        <f t="shared" si="42"/>
        <v>59642.46</v>
      </c>
    </row>
    <row r="76" spans="1:23" ht="36.75">
      <c r="A76" s="480">
        <f t="shared" si="37"/>
        <v>4.0499999999999989</v>
      </c>
      <c r="B76" s="470" t="s">
        <v>429</v>
      </c>
      <c r="C76" s="449" t="s">
        <v>78</v>
      </c>
      <c r="D76" s="361">
        <v>4</v>
      </c>
      <c r="E76" s="481">
        <v>13005</v>
      </c>
      <c r="F76" s="478">
        <f t="shared" si="38"/>
        <v>52020</v>
      </c>
      <c r="G76" s="453"/>
      <c r="H76" s="444">
        <v>2</v>
      </c>
      <c r="I76" s="474">
        <f t="shared" si="39"/>
        <v>2</v>
      </c>
      <c r="J76" s="475">
        <f t="shared" si="40"/>
        <v>0.5</v>
      </c>
      <c r="K76" s="466"/>
      <c r="L76" s="458">
        <f t="shared" si="41"/>
        <v>26010</v>
      </c>
      <c r="M76" s="448">
        <f t="shared" si="42"/>
        <v>26010</v>
      </c>
    </row>
    <row r="77" spans="1:23">
      <c r="A77" s="480">
        <f t="shared" si="37"/>
        <v>4.0599999999999987</v>
      </c>
      <c r="B77" s="355" t="s">
        <v>430</v>
      </c>
      <c r="C77" s="449" t="s">
        <v>78</v>
      </c>
      <c r="D77" s="361">
        <v>16</v>
      </c>
      <c r="E77" s="481">
        <v>7701</v>
      </c>
      <c r="F77" s="478">
        <f t="shared" si="38"/>
        <v>123216</v>
      </c>
      <c r="G77" s="453"/>
      <c r="H77" s="444">
        <v>8</v>
      </c>
      <c r="I77" s="474">
        <f t="shared" si="39"/>
        <v>8</v>
      </c>
      <c r="J77" s="475">
        <f t="shared" si="40"/>
        <v>0.5</v>
      </c>
      <c r="K77" s="466"/>
      <c r="L77" s="458">
        <f t="shared" si="41"/>
        <v>61608</v>
      </c>
      <c r="M77" s="448">
        <f t="shared" si="42"/>
        <v>61608</v>
      </c>
    </row>
    <row r="78" spans="1:23">
      <c r="A78" s="480">
        <f t="shared" si="37"/>
        <v>4.0699999999999985</v>
      </c>
      <c r="B78" s="452" t="s">
        <v>257</v>
      </c>
      <c r="C78" s="23" t="s">
        <v>433</v>
      </c>
      <c r="D78" s="527"/>
      <c r="E78" s="527"/>
      <c r="F78" s="528">
        <f>SUM(F72:F77)</f>
        <v>335388.04000000004</v>
      </c>
      <c r="G78" s="453"/>
      <c r="H78" s="444"/>
      <c r="I78" s="474"/>
      <c r="J78" s="475"/>
      <c r="K78" s="466"/>
      <c r="L78" s="460">
        <f>SUM(L74:L77)</f>
        <v>162627.58000000002</v>
      </c>
      <c r="M78" s="455">
        <f t="shared" si="42"/>
        <v>162627.58000000002</v>
      </c>
    </row>
    <row r="79" spans="1:23">
      <c r="A79" s="492">
        <v>5</v>
      </c>
      <c r="B79" s="23" t="s">
        <v>434</v>
      </c>
      <c r="C79" s="23"/>
      <c r="D79" s="23"/>
      <c r="E79" s="23"/>
      <c r="F79" s="23"/>
      <c r="G79" s="453"/>
      <c r="H79" s="444"/>
      <c r="I79" s="474"/>
      <c r="J79" s="475"/>
      <c r="K79" s="466"/>
      <c r="L79" s="458"/>
      <c r="M79" s="448"/>
    </row>
    <row r="80" spans="1:23">
      <c r="A80" s="480">
        <f>A79+0.01</f>
        <v>5.01</v>
      </c>
      <c r="B80" s="355" t="s">
        <v>435</v>
      </c>
      <c r="C80" s="449" t="s">
        <v>78</v>
      </c>
      <c r="D80" s="361">
        <v>20</v>
      </c>
      <c r="E80" s="481">
        <v>5322.3294999999998</v>
      </c>
      <c r="F80" s="478">
        <f>E80*D80</f>
        <v>106446.59</v>
      </c>
      <c r="G80" s="453"/>
      <c r="H80" s="444">
        <v>8</v>
      </c>
      <c r="I80" s="474">
        <f t="shared" si="39"/>
        <v>8</v>
      </c>
      <c r="J80" s="475">
        <f t="shared" si="40"/>
        <v>0.4</v>
      </c>
      <c r="K80" s="466"/>
      <c r="L80" s="458">
        <f t="shared" si="41"/>
        <v>42578.635999999999</v>
      </c>
      <c r="M80" s="448">
        <f t="shared" si="42"/>
        <v>42578.635999999999</v>
      </c>
    </row>
    <row r="81" spans="1:13">
      <c r="A81" s="480">
        <f>A80+0.01</f>
        <v>5.0199999999999996</v>
      </c>
      <c r="B81" s="452" t="s">
        <v>257</v>
      </c>
      <c r="C81" s="355"/>
      <c r="D81" s="355"/>
      <c r="E81" s="355"/>
      <c r="F81" s="495">
        <f>SUM(F80)</f>
        <v>106446.59</v>
      </c>
      <c r="G81" s="453"/>
      <c r="H81" s="125"/>
      <c r="I81" s="125"/>
      <c r="J81" s="125"/>
      <c r="K81" s="466"/>
      <c r="L81" s="460">
        <f>SUM(L80)</f>
        <v>42578.635999999999</v>
      </c>
      <c r="M81" s="455">
        <f t="shared" si="42"/>
        <v>42578.635999999999</v>
      </c>
    </row>
    <row r="82" spans="1:13">
      <c r="A82" s="492">
        <v>6</v>
      </c>
      <c r="B82" s="402" t="s">
        <v>442</v>
      </c>
      <c r="C82" s="361"/>
      <c r="D82" s="355"/>
      <c r="E82" s="355"/>
      <c r="F82" s="355"/>
      <c r="G82" s="453"/>
      <c r="H82" s="125"/>
      <c r="I82" s="125"/>
      <c r="J82" s="125"/>
      <c r="K82" s="466"/>
      <c r="L82" s="460"/>
      <c r="M82" s="460"/>
    </row>
    <row r="83" spans="1:13">
      <c r="A83" s="480">
        <f>A82+0.01</f>
        <v>6.01</v>
      </c>
      <c r="B83" s="355" t="s">
        <v>443</v>
      </c>
      <c r="C83" s="529" t="s">
        <v>78</v>
      </c>
      <c r="D83" s="355">
        <v>2</v>
      </c>
      <c r="E83" s="346">
        <v>75000</v>
      </c>
      <c r="F83" s="530">
        <f>E83*D83</f>
        <v>150000</v>
      </c>
      <c r="G83" s="531">
        <v>2</v>
      </c>
      <c r="H83" s="532"/>
      <c r="I83" s="474">
        <f t="shared" ref="I83:I86" si="43">+G83+H83</f>
        <v>2</v>
      </c>
      <c r="J83" s="475">
        <f t="shared" ref="J83:J86" si="44">I83/D83</f>
        <v>1</v>
      </c>
      <c r="K83" s="447">
        <f t="shared" ref="K83:K84" si="45">G83*E83</f>
        <v>150000</v>
      </c>
      <c r="L83" s="460"/>
      <c r="M83" s="448">
        <f t="shared" ref="M83:M92" si="46">K83+L83</f>
        <v>150000</v>
      </c>
    </row>
    <row r="84" spans="1:13">
      <c r="A84" s="449">
        <f>A83+0.01</f>
        <v>6.02</v>
      </c>
      <c r="B84" s="355" t="s">
        <v>444</v>
      </c>
      <c r="C84" s="529" t="s">
        <v>78</v>
      </c>
      <c r="D84" s="355">
        <v>2</v>
      </c>
      <c r="E84" s="346">
        <v>15000</v>
      </c>
      <c r="F84" s="530">
        <f t="shared" ref="F84:F86" si="47">E84*D84</f>
        <v>30000</v>
      </c>
      <c r="G84" s="531">
        <v>2</v>
      </c>
      <c r="H84" s="532"/>
      <c r="I84" s="474">
        <f t="shared" si="43"/>
        <v>2</v>
      </c>
      <c r="J84" s="475">
        <f t="shared" si="44"/>
        <v>1</v>
      </c>
      <c r="K84" s="447">
        <f t="shared" si="45"/>
        <v>30000</v>
      </c>
      <c r="L84" s="460"/>
      <c r="M84" s="448">
        <f t="shared" si="46"/>
        <v>30000</v>
      </c>
    </row>
    <row r="85" spans="1:13">
      <c r="A85" s="449">
        <f>A84+0.01</f>
        <v>6.0299999999999994</v>
      </c>
      <c r="B85" s="355" t="s">
        <v>445</v>
      </c>
      <c r="C85" s="529" t="s">
        <v>78</v>
      </c>
      <c r="D85" s="355">
        <v>2</v>
      </c>
      <c r="E85" s="346">
        <v>20000</v>
      </c>
      <c r="F85" s="530">
        <f t="shared" si="47"/>
        <v>40000</v>
      </c>
      <c r="G85" s="531"/>
      <c r="H85" s="444">
        <v>2</v>
      </c>
      <c r="I85" s="474">
        <f t="shared" si="43"/>
        <v>2</v>
      </c>
      <c r="J85" s="475">
        <f t="shared" si="44"/>
        <v>1</v>
      </c>
      <c r="K85" s="466"/>
      <c r="L85" s="458">
        <f t="shared" ref="L85" si="48">H85*E85</f>
        <v>40000</v>
      </c>
      <c r="M85" s="448">
        <f t="shared" si="46"/>
        <v>40000</v>
      </c>
    </row>
    <row r="86" spans="1:13">
      <c r="A86" s="449">
        <f>A85+0.01</f>
        <v>6.0399999999999991</v>
      </c>
      <c r="B86" s="355" t="s">
        <v>446</v>
      </c>
      <c r="C86" s="529" t="s">
        <v>78</v>
      </c>
      <c r="D86" s="355">
        <v>2</v>
      </c>
      <c r="E86" s="346">
        <v>5000</v>
      </c>
      <c r="F86" s="530">
        <f t="shared" si="47"/>
        <v>10000</v>
      </c>
      <c r="G86" s="531">
        <v>2</v>
      </c>
      <c r="H86" s="508"/>
      <c r="I86" s="474">
        <f t="shared" si="43"/>
        <v>2</v>
      </c>
      <c r="J86" s="475">
        <f t="shared" si="44"/>
        <v>1</v>
      </c>
      <c r="K86" s="447">
        <f t="shared" ref="K86" si="49">G86*E86</f>
        <v>10000</v>
      </c>
      <c r="L86" s="460"/>
      <c r="M86" s="448">
        <f t="shared" si="46"/>
        <v>10000</v>
      </c>
    </row>
    <row r="87" spans="1:13">
      <c r="A87" s="449">
        <f>A86+0.01</f>
        <v>6.0499999999999989</v>
      </c>
      <c r="B87" s="452" t="s">
        <v>257</v>
      </c>
      <c r="C87" s="533"/>
      <c r="D87" s="355"/>
      <c r="E87" s="346"/>
      <c r="F87" s="403">
        <f>SUM(F83:F86)</f>
        <v>230000</v>
      </c>
      <c r="G87" s="508"/>
      <c r="H87" s="508"/>
      <c r="I87" s="125"/>
      <c r="J87" s="125"/>
      <c r="K87" s="454">
        <f>SUM(K83:K86)</f>
        <v>190000</v>
      </c>
      <c r="L87" s="460">
        <f>SUM(L85:L86)</f>
        <v>40000</v>
      </c>
      <c r="M87" s="455">
        <f t="shared" si="46"/>
        <v>230000</v>
      </c>
    </row>
    <row r="88" spans="1:13" ht="15.75">
      <c r="A88" s="534" t="s">
        <v>447</v>
      </c>
      <c r="B88" s="23" t="s">
        <v>448</v>
      </c>
      <c r="C88" s="535"/>
      <c r="D88" s="535"/>
      <c r="E88" s="337"/>
      <c r="F88" s="535"/>
      <c r="G88" s="532"/>
      <c r="H88" s="508"/>
      <c r="I88" s="125"/>
      <c r="J88" s="125"/>
      <c r="K88" s="466"/>
      <c r="L88" s="460"/>
      <c r="M88" s="448"/>
    </row>
    <row r="89" spans="1:13">
      <c r="A89" s="536">
        <v>1</v>
      </c>
      <c r="B89" s="23" t="s">
        <v>449</v>
      </c>
      <c r="C89" s="537"/>
      <c r="D89" s="537"/>
      <c r="E89" s="535"/>
      <c r="F89" s="537"/>
      <c r="G89" s="532"/>
      <c r="H89" s="508"/>
      <c r="I89" s="125"/>
      <c r="J89" s="125"/>
      <c r="K89" s="466"/>
      <c r="L89" s="460"/>
      <c r="M89" s="448"/>
    </row>
    <row r="90" spans="1:13" ht="24.75">
      <c r="A90" s="480">
        <f>A89+0.01</f>
        <v>1.01</v>
      </c>
      <c r="B90" s="470" t="s">
        <v>450</v>
      </c>
      <c r="C90" s="449" t="s">
        <v>32</v>
      </c>
      <c r="D90" s="449">
        <v>1</v>
      </c>
      <c r="E90" s="478">
        <f>385368.62</f>
        <v>385368.62</v>
      </c>
      <c r="F90" s="478">
        <f>E90*D90</f>
        <v>385368.62</v>
      </c>
      <c r="G90" s="532"/>
      <c r="H90" s="444">
        <v>1</v>
      </c>
      <c r="I90" s="474">
        <f t="shared" ref="I90" si="50">+G90+H90</f>
        <v>1</v>
      </c>
      <c r="J90" s="475">
        <f t="shared" ref="J90" si="51">I90/D90</f>
        <v>1</v>
      </c>
      <c r="K90" s="466"/>
      <c r="L90" s="458">
        <f t="shared" ref="L90" si="52">H90*E90</f>
        <v>385368.62</v>
      </c>
      <c r="M90" s="448">
        <f t="shared" si="46"/>
        <v>385368.62</v>
      </c>
    </row>
    <row r="91" spans="1:13" ht="24.75">
      <c r="A91" s="480">
        <f>A90+0.01</f>
        <v>1.02</v>
      </c>
      <c r="B91" s="470" t="s">
        <v>451</v>
      </c>
      <c r="C91" s="449" t="s">
        <v>32</v>
      </c>
      <c r="D91" s="449">
        <v>1</v>
      </c>
      <c r="E91" s="478">
        <v>818016.42</v>
      </c>
      <c r="F91" s="478">
        <f>E91*D91</f>
        <v>818016.42</v>
      </c>
      <c r="G91" s="532"/>
      <c r="H91" s="532"/>
      <c r="I91" s="125"/>
      <c r="J91" s="125"/>
      <c r="K91" s="466"/>
      <c r="L91" s="460"/>
      <c r="M91" s="448"/>
    </row>
    <row r="92" spans="1:13">
      <c r="A92" s="480">
        <f>A91+0.01</f>
        <v>1.03</v>
      </c>
      <c r="B92" s="452" t="s">
        <v>257</v>
      </c>
      <c r="C92" s="533"/>
      <c r="D92" s="355"/>
      <c r="E92" s="346"/>
      <c r="F92" s="403">
        <f>SUM(F88:F91)</f>
        <v>1203385.04</v>
      </c>
      <c r="G92" s="532"/>
      <c r="H92" s="532"/>
      <c r="I92" s="125"/>
      <c r="J92" s="125"/>
      <c r="K92" s="466"/>
      <c r="L92" s="460">
        <f>SUM(L90:L91)</f>
        <v>385368.62</v>
      </c>
      <c r="M92" s="455">
        <f t="shared" si="46"/>
        <v>385368.62</v>
      </c>
    </row>
    <row r="93" spans="1:13">
      <c r="B93" s="6" t="s">
        <v>374</v>
      </c>
      <c r="C93" s="232"/>
      <c r="D93" s="232"/>
      <c r="E93" s="232"/>
      <c r="F93" s="321">
        <f>F92+F87+F81+F78+F70+F65+F58+F51+F30+F22+F15</f>
        <v>19328814.453738935</v>
      </c>
      <c r="G93" s="321"/>
      <c r="H93" s="257"/>
      <c r="I93" s="321"/>
      <c r="J93" s="538"/>
      <c r="K93" s="539">
        <f>K87+K70+K65+K58+K30+K22+K15</f>
        <v>12143375.319074335</v>
      </c>
      <c r="L93" s="539">
        <f>L92+L87+L65+L51+L30+L22+L15+L81+L70+L78</f>
        <v>3348083.5432330766</v>
      </c>
      <c r="M93" s="539">
        <f>K93+L93</f>
        <v>15491458.862307411</v>
      </c>
    </row>
    <row r="94" spans="1:13">
      <c r="B94" s="6"/>
      <c r="C94" s="232"/>
      <c r="D94" s="232"/>
      <c r="E94" s="232"/>
      <c r="F94" s="517"/>
      <c r="G94" s="112"/>
      <c r="H94" s="264"/>
      <c r="I94" s="112"/>
      <c r="J94" s="540"/>
      <c r="K94" s="517"/>
      <c r="L94" s="541"/>
      <c r="M94" s="541"/>
    </row>
    <row r="95" spans="1:13">
      <c r="B95" s="6"/>
      <c r="C95" s="232"/>
      <c r="D95" s="232"/>
      <c r="E95" s="232"/>
      <c r="F95" s="517"/>
      <c r="G95" s="112"/>
      <c r="H95" s="264"/>
      <c r="I95" s="112"/>
      <c r="J95" s="540"/>
      <c r="K95" s="517"/>
      <c r="L95" s="541"/>
      <c r="M95" s="541"/>
    </row>
    <row r="96" spans="1:13">
      <c r="B96" s="6"/>
      <c r="C96" s="232"/>
      <c r="D96" s="232"/>
      <c r="E96" s="232"/>
      <c r="F96" s="517"/>
      <c r="G96" s="112"/>
      <c r="H96" s="264"/>
      <c r="I96" s="112"/>
      <c r="J96" s="540"/>
      <c r="K96" s="517"/>
      <c r="L96" s="541"/>
      <c r="M96" s="541"/>
    </row>
    <row r="97" spans="2:15">
      <c r="B97" s="6"/>
      <c r="C97" s="232"/>
      <c r="D97" s="232"/>
      <c r="E97" s="232"/>
      <c r="F97" s="517"/>
      <c r="G97" s="112"/>
      <c r="H97" s="264"/>
      <c r="I97" s="112"/>
      <c r="J97" s="540"/>
      <c r="K97" s="517"/>
      <c r="L97" s="541"/>
      <c r="M97" s="541"/>
    </row>
    <row r="98" spans="2:15">
      <c r="B98" s="6"/>
      <c r="C98" s="232"/>
      <c r="D98" s="232"/>
      <c r="E98" s="232"/>
      <c r="F98" s="517"/>
      <c r="G98" s="112"/>
      <c r="H98" s="264"/>
      <c r="I98" s="112"/>
      <c r="J98" s="540"/>
      <c r="K98" s="517"/>
      <c r="L98" s="541"/>
      <c r="M98" s="541"/>
    </row>
    <row r="99" spans="2:15">
      <c r="C99" s="6" t="s">
        <v>452</v>
      </c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</row>
    <row r="100" spans="2:15">
      <c r="D100" s="542"/>
      <c r="E100" s="542"/>
      <c r="F100" s="1121" t="s">
        <v>1</v>
      </c>
      <c r="G100" s="1121"/>
      <c r="H100" s="1121"/>
      <c r="I100" s="1121"/>
      <c r="J100" s="1121"/>
      <c r="K100" s="1121"/>
      <c r="L100" s="542"/>
      <c r="M100" s="542"/>
      <c r="N100" s="542"/>
      <c r="O100" s="542"/>
    </row>
    <row r="101" spans="2:15" ht="26.25" customHeight="1">
      <c r="C101" s="5" t="s">
        <v>3</v>
      </c>
      <c r="D101" s="1169" t="s">
        <v>397</v>
      </c>
      <c r="E101" s="1169"/>
      <c r="F101" s="1169"/>
      <c r="G101" s="1169"/>
      <c r="H101" s="1169"/>
      <c r="I101" s="1169"/>
      <c r="J101" s="1169"/>
      <c r="K101" s="4"/>
      <c r="L101" s="543" t="s">
        <v>5</v>
      </c>
      <c r="M101" s="8">
        <v>19236531.640000001</v>
      </c>
      <c r="O101" s="8"/>
    </row>
    <row r="102" spans="2:15">
      <c r="C102" s="5" t="s">
        <v>7</v>
      </c>
      <c r="D102" s="9">
        <v>4</v>
      </c>
      <c r="E102" s="4"/>
      <c r="F102" s="6"/>
      <c r="G102" s="6"/>
      <c r="H102" s="6"/>
      <c r="I102" s="4"/>
      <c r="J102" s="4"/>
      <c r="K102" s="4"/>
      <c r="L102" s="5" t="s">
        <v>8</v>
      </c>
      <c r="M102" s="8">
        <f>M101*0.2</f>
        <v>3847306.3280000002</v>
      </c>
      <c r="O102" s="238"/>
    </row>
    <row r="103" spans="2:15">
      <c r="C103" s="5" t="s">
        <v>9</v>
      </c>
      <c r="D103" s="9" t="s">
        <v>398</v>
      </c>
      <c r="E103" s="6"/>
      <c r="F103" s="6"/>
      <c r="G103" s="6"/>
      <c r="H103" s="10"/>
      <c r="I103" s="4"/>
      <c r="J103" s="4"/>
      <c r="K103" s="4"/>
      <c r="L103" s="5" t="s">
        <v>11</v>
      </c>
      <c r="M103" s="11" t="s">
        <v>399</v>
      </c>
      <c r="O103" s="239"/>
    </row>
    <row r="104" spans="2:15">
      <c r="C104" s="5" t="s">
        <v>13</v>
      </c>
      <c r="D104" s="6" t="s">
        <v>453</v>
      </c>
      <c r="E104" s="6"/>
      <c r="F104" s="6"/>
      <c r="G104" s="6"/>
      <c r="H104" s="6"/>
      <c r="I104" s="4"/>
      <c r="J104" s="4"/>
      <c r="K104" s="4"/>
      <c r="L104" s="4"/>
      <c r="M104" s="4"/>
      <c r="N104" s="4"/>
      <c r="O104" s="239"/>
    </row>
    <row r="105" spans="2:15">
      <c r="D105" s="5"/>
      <c r="E105" s="6"/>
      <c r="F105" s="6"/>
      <c r="G105" s="6"/>
      <c r="H105" s="6"/>
      <c r="I105" s="4"/>
      <c r="J105" s="4"/>
      <c r="K105" s="4"/>
      <c r="L105" s="4"/>
      <c r="M105" s="4"/>
      <c r="N105" s="3"/>
      <c r="O105" s="239"/>
    </row>
    <row r="106" spans="2:15">
      <c r="B106" s="92"/>
      <c r="C106" s="5"/>
      <c r="D106" s="6"/>
      <c r="G106" s="92"/>
      <c r="H106" s="305"/>
      <c r="I106" s="544"/>
      <c r="J106" s="544"/>
      <c r="K106" s="544"/>
    </row>
    <row r="107" spans="2:15">
      <c r="B107" s="6" t="s">
        <v>454</v>
      </c>
      <c r="C107" s="6"/>
      <c r="D107" s="6"/>
      <c r="E107" s="1133" t="s">
        <v>21</v>
      </c>
      <c r="F107" s="1133"/>
      <c r="H107" s="1184" t="s">
        <v>24</v>
      </c>
      <c r="I107" s="1184"/>
      <c r="J107" s="1133" t="s">
        <v>25</v>
      </c>
      <c r="K107" s="1133"/>
      <c r="L107" s="1133" t="s">
        <v>26</v>
      </c>
      <c r="M107" s="1133"/>
    </row>
    <row r="108" spans="2:15">
      <c r="B108" s="9"/>
      <c r="C108" s="5"/>
      <c r="D108" s="6"/>
      <c r="E108" s="1132">
        <f>F93</f>
        <v>19328814.453738935</v>
      </c>
      <c r="F108" s="1132"/>
      <c r="G108" s="545"/>
      <c r="H108" s="1132">
        <f>K93</f>
        <v>12143375.319074335</v>
      </c>
      <c r="I108" s="1132"/>
      <c r="J108" s="1135">
        <f>L93</f>
        <v>3348083.5432330766</v>
      </c>
      <c r="K108" s="1135"/>
      <c r="L108" s="1132">
        <f>H108+J108</f>
        <v>15491458.862307411</v>
      </c>
      <c r="M108" s="1132"/>
    </row>
    <row r="109" spans="2:15">
      <c r="B109" s="9" t="s">
        <v>215</v>
      </c>
      <c r="C109" s="5"/>
      <c r="D109" s="6"/>
      <c r="E109" s="184"/>
      <c r="F109" s="184"/>
      <c r="H109" s="1183"/>
      <c r="I109" s="1183"/>
      <c r="J109" s="243"/>
      <c r="K109" s="243"/>
      <c r="L109" s="243"/>
      <c r="M109" s="243"/>
    </row>
    <row r="110" spans="2:15">
      <c r="B110" s="9" t="s">
        <v>133</v>
      </c>
      <c r="C110" s="546"/>
      <c r="D110" s="94"/>
      <c r="E110" s="1120"/>
      <c r="F110" s="1120"/>
      <c r="H110" s="1183"/>
      <c r="I110" s="1183"/>
      <c r="J110" s="243"/>
      <c r="K110" s="243"/>
      <c r="L110" s="243"/>
      <c r="M110" s="243"/>
    </row>
    <row r="111" spans="2:15">
      <c r="H111" s="1120"/>
      <c r="I111" s="1120"/>
      <c r="J111" s="1133"/>
      <c r="K111" s="1133"/>
      <c r="L111" s="1120"/>
      <c r="M111" s="1120"/>
    </row>
    <row r="112" spans="2:15">
      <c r="B112" s="6" t="s">
        <v>135</v>
      </c>
      <c r="C112" s="546"/>
      <c r="D112" s="98">
        <v>0.1</v>
      </c>
      <c r="E112" s="1135">
        <f>D112*E108</f>
        <v>1932881.4453738937</v>
      </c>
      <c r="F112" s="1135"/>
      <c r="G112" s="318"/>
      <c r="H112" s="1135">
        <f>H108*D112</f>
        <v>1214337.5319074334</v>
      </c>
      <c r="I112" s="1135"/>
      <c r="J112" s="1132">
        <f>J108*D112</f>
        <v>334808.35432330769</v>
      </c>
      <c r="K112" s="1132"/>
      <c r="L112" s="1132">
        <f t="shared" ref="L112:L118" si="53">H112+J112</f>
        <v>1549145.8862307412</v>
      </c>
      <c r="M112" s="1132"/>
    </row>
    <row r="113" spans="1:14">
      <c r="A113" s="113"/>
      <c r="B113" s="6" t="s">
        <v>134</v>
      </c>
      <c r="C113" s="546"/>
      <c r="D113" s="96">
        <v>0.04</v>
      </c>
      <c r="E113" s="1135">
        <f>D113*E108</f>
        <v>773152.57814955746</v>
      </c>
      <c r="F113" s="1135"/>
      <c r="G113" s="318"/>
      <c r="H113" s="1135">
        <f>H108*D113</f>
        <v>485735.01276297338</v>
      </c>
      <c r="I113" s="1135"/>
      <c r="J113" s="1132">
        <f>J108*D113</f>
        <v>133923.34172932306</v>
      </c>
      <c r="K113" s="1132"/>
      <c r="L113" s="1132">
        <f t="shared" si="53"/>
        <v>619658.35449229646</v>
      </c>
      <c r="M113" s="1132"/>
    </row>
    <row r="114" spans="1:14">
      <c r="A114" s="111"/>
      <c r="B114" s="6" t="s">
        <v>455</v>
      </c>
      <c r="C114" s="546"/>
      <c r="D114" s="94">
        <v>0.03</v>
      </c>
      <c r="E114" s="1135">
        <f>D114*E108</f>
        <v>579864.43361216807</v>
      </c>
      <c r="F114" s="1135"/>
      <c r="G114" s="318"/>
      <c r="H114" s="1135">
        <f>H108*D114</f>
        <v>364301.25957223005</v>
      </c>
      <c r="I114" s="1135"/>
      <c r="J114" s="1132">
        <f>J108*D114</f>
        <v>100442.50629699229</v>
      </c>
      <c r="K114" s="1132"/>
      <c r="L114" s="1132">
        <f t="shared" si="53"/>
        <v>464743.76586922235</v>
      </c>
      <c r="M114" s="1132"/>
    </row>
    <row r="115" spans="1:14">
      <c r="A115" s="111"/>
      <c r="B115" s="6" t="s">
        <v>137</v>
      </c>
      <c r="C115" s="547"/>
      <c r="D115" s="99">
        <v>4.4999999999999998E-2</v>
      </c>
      <c r="E115" s="1135">
        <f>D115*E108</f>
        <v>869796.6504182521</v>
      </c>
      <c r="F115" s="1135"/>
      <c r="G115" s="318"/>
      <c r="H115" s="1135">
        <f>H108*D115</f>
        <v>546451.88935834507</v>
      </c>
      <c r="I115" s="1135"/>
      <c r="J115" s="1132">
        <f>J108*D115</f>
        <v>150663.75944548845</v>
      </c>
      <c r="K115" s="1132"/>
      <c r="L115" s="1132">
        <f t="shared" si="53"/>
        <v>697115.64880383352</v>
      </c>
      <c r="M115" s="1132"/>
    </row>
    <row r="116" spans="1:14">
      <c r="A116" s="111"/>
      <c r="B116" s="6" t="s">
        <v>139</v>
      </c>
      <c r="C116" s="546"/>
      <c r="D116" s="98">
        <v>0.01</v>
      </c>
      <c r="E116" s="1135">
        <f>D116*E108</f>
        <v>193288.14453738937</v>
      </c>
      <c r="F116" s="1135"/>
      <c r="G116" s="318"/>
      <c r="H116" s="1135">
        <f>H108*D116</f>
        <v>121433.75319074334</v>
      </c>
      <c r="I116" s="1135"/>
      <c r="J116" s="1132">
        <f>J108*D116</f>
        <v>33480.835432330765</v>
      </c>
      <c r="K116" s="1132"/>
      <c r="L116" s="1132">
        <f t="shared" si="53"/>
        <v>154914.58862307412</v>
      </c>
      <c r="M116" s="1132"/>
    </row>
    <row r="117" spans="1:14">
      <c r="A117" s="111"/>
      <c r="B117" s="6" t="s">
        <v>140</v>
      </c>
      <c r="C117" s="546"/>
      <c r="D117" s="94">
        <v>1E-3</v>
      </c>
      <c r="E117" s="1135">
        <f>D117*E108</f>
        <v>19328.814453738934</v>
      </c>
      <c r="F117" s="1135"/>
      <c r="G117" s="318"/>
      <c r="H117" s="1135">
        <f>H108*D117</f>
        <v>12143.375319074335</v>
      </c>
      <c r="I117" s="1135"/>
      <c r="J117" s="1132">
        <f>J108*D117</f>
        <v>3348.0835432330769</v>
      </c>
      <c r="K117" s="1132"/>
      <c r="L117" s="1132">
        <f t="shared" si="53"/>
        <v>15491.458862307412</v>
      </c>
      <c r="M117" s="1132"/>
    </row>
    <row r="118" spans="1:14">
      <c r="A118" s="111"/>
      <c r="B118" s="6" t="s">
        <v>136</v>
      </c>
      <c r="C118" s="546"/>
      <c r="D118" s="98">
        <v>0.18</v>
      </c>
      <c r="E118" s="1135">
        <f>D118*E112</f>
        <v>347918.66016730084</v>
      </c>
      <c r="F118" s="1135"/>
      <c r="G118" s="318"/>
      <c r="H118" s="1135">
        <f>D118*H112</f>
        <v>218580.755743338</v>
      </c>
      <c r="I118" s="1135"/>
      <c r="J118" s="1132">
        <f>J112*D118</f>
        <v>60265.50377819538</v>
      </c>
      <c r="K118" s="1132"/>
      <c r="L118" s="1132">
        <f t="shared" si="53"/>
        <v>278846.25952153339</v>
      </c>
      <c r="M118" s="1132"/>
    </row>
    <row r="119" spans="1:14">
      <c r="A119" s="111"/>
      <c r="E119" s="318"/>
      <c r="F119" s="318"/>
      <c r="G119" s="318"/>
      <c r="H119" s="318"/>
      <c r="I119" s="318"/>
      <c r="J119" s="318"/>
      <c r="K119" s="318"/>
      <c r="L119" s="318"/>
      <c r="M119" s="318"/>
    </row>
    <row r="120" spans="1:14">
      <c r="A120" s="111"/>
      <c r="B120" s="102" t="s">
        <v>141</v>
      </c>
      <c r="E120" s="1130">
        <f>SUM(E112:F119)</f>
        <v>4716230.7267123014</v>
      </c>
      <c r="F120" s="1130"/>
      <c r="G120" s="318"/>
      <c r="H120" s="318"/>
      <c r="I120" s="318"/>
      <c r="J120" s="318"/>
      <c r="K120" s="318"/>
      <c r="L120" s="318"/>
      <c r="M120" s="318"/>
    </row>
    <row r="121" spans="1:14">
      <c r="A121" s="111"/>
      <c r="E121" s="318"/>
      <c r="F121" s="318"/>
      <c r="G121" s="318"/>
      <c r="H121" s="318"/>
      <c r="I121" s="318"/>
      <c r="J121" s="318"/>
      <c r="K121" s="318"/>
      <c r="L121" s="318"/>
      <c r="M121" s="318"/>
    </row>
    <row r="122" spans="1:14">
      <c r="A122" s="113"/>
      <c r="E122" s="318"/>
      <c r="F122" s="318"/>
      <c r="G122" s="318"/>
      <c r="H122" s="318"/>
      <c r="I122" s="318"/>
      <c r="J122" s="318"/>
      <c r="K122" s="318"/>
      <c r="L122" s="318"/>
      <c r="M122" s="318"/>
    </row>
    <row r="123" spans="1:14">
      <c r="A123" s="111"/>
      <c r="B123" s="112" t="s">
        <v>456</v>
      </c>
      <c r="C123" s="547"/>
      <c r="D123" s="1"/>
      <c r="E123" s="1130">
        <f>E120+E108</f>
        <v>24045045.180451237</v>
      </c>
      <c r="F123" s="1130"/>
      <c r="G123" s="250"/>
      <c r="H123" s="1135">
        <f>SUM(H112:I122)</f>
        <v>2962983.5778541374</v>
      </c>
      <c r="I123" s="1135"/>
      <c r="J123" s="1132">
        <f>SUM(J112:K118)</f>
        <v>816932.38454887073</v>
      </c>
      <c r="K123" s="1132"/>
      <c r="L123" s="1135">
        <f>SUM(L112:M120)</f>
        <v>3779915.9624030082</v>
      </c>
      <c r="M123" s="1135"/>
    </row>
    <row r="124" spans="1:14">
      <c r="A124" s="111"/>
      <c r="B124" s="6"/>
      <c r="C124" s="548"/>
      <c r="D124" s="253"/>
      <c r="E124" s="1181"/>
      <c r="F124" s="1181"/>
      <c r="G124" s="250"/>
      <c r="H124" s="1182"/>
      <c r="I124" s="1182"/>
      <c r="J124" s="1182"/>
      <c r="K124" s="1182"/>
      <c r="L124" s="1181"/>
      <c r="M124" s="1181"/>
    </row>
    <row r="125" spans="1:14">
      <c r="A125" s="111"/>
      <c r="B125" s="106" t="s">
        <v>143</v>
      </c>
      <c r="C125" s="550"/>
      <c r="D125" s="3"/>
      <c r="E125" s="1135"/>
      <c r="F125" s="1135"/>
      <c r="G125" s="254"/>
      <c r="H125" s="1135">
        <f>H108+H123</f>
        <v>15106358.896928472</v>
      </c>
      <c r="I125" s="1135"/>
      <c r="J125" s="1132">
        <f>J123+J108</f>
        <v>4165015.9277819474</v>
      </c>
      <c r="K125" s="1132"/>
      <c r="L125" s="1132">
        <f>H125+J125</f>
        <v>19271374.824710421</v>
      </c>
      <c r="M125" s="1132"/>
    </row>
    <row r="126" spans="1:14">
      <c r="A126" s="111"/>
      <c r="B126" s="108" t="s">
        <v>144</v>
      </c>
      <c r="C126" s="547"/>
      <c r="E126" s="551"/>
      <c r="F126" s="551"/>
      <c r="G126" s="551"/>
      <c r="H126" s="551"/>
      <c r="I126" s="551"/>
      <c r="J126" s="551"/>
      <c r="K126" s="551"/>
      <c r="L126" s="1180"/>
      <c r="M126" s="1180"/>
    </row>
    <row r="127" spans="1:14">
      <c r="A127" s="111"/>
      <c r="B127" s="9" t="s">
        <v>145</v>
      </c>
      <c r="C127" s="553"/>
      <c r="D127" s="109">
        <v>0.2</v>
      </c>
      <c r="E127" s="552"/>
      <c r="F127" s="552"/>
      <c r="G127" s="552"/>
      <c r="H127" s="1136">
        <f>H125*D127</f>
        <v>3021271.7793856948</v>
      </c>
      <c r="I127" s="1136"/>
      <c r="J127" s="1132">
        <v>826034.55</v>
      </c>
      <c r="K127" s="1132"/>
      <c r="L127" s="1132">
        <f>H127+J127</f>
        <v>3847306.329385695</v>
      </c>
      <c r="M127" s="1132"/>
      <c r="N127" s="8"/>
    </row>
    <row r="128" spans="1:14">
      <c r="A128" s="111"/>
      <c r="C128" s="554"/>
      <c r="E128" s="552"/>
      <c r="F128" s="552"/>
      <c r="G128" s="552"/>
      <c r="H128" s="555"/>
      <c r="I128" s="551"/>
      <c r="J128" s="552"/>
      <c r="K128" s="549"/>
      <c r="L128" s="549"/>
      <c r="M128" s="549"/>
      <c r="N128" s="8"/>
    </row>
    <row r="129" spans="1:14">
      <c r="A129" s="113"/>
      <c r="B129" s="9" t="s">
        <v>392</v>
      </c>
      <c r="C129" s="553"/>
      <c r="D129" s="3"/>
      <c r="E129" s="552"/>
      <c r="F129" s="552"/>
      <c r="G129" s="552"/>
      <c r="H129" s="1135">
        <f>H125-H127</f>
        <v>12085087.117542777</v>
      </c>
      <c r="I129" s="1135"/>
      <c r="J129" s="1131">
        <f>J125-J127</f>
        <v>3338981.3777819471</v>
      </c>
      <c r="K129" s="1131"/>
      <c r="L129" s="1132">
        <f>H129+J129</f>
        <v>15424068.495324723</v>
      </c>
      <c r="M129" s="1132"/>
      <c r="N129">
        <v>24045045.18</v>
      </c>
    </row>
    <row r="130" spans="1:14">
      <c r="A130" s="113"/>
      <c r="B130" s="9"/>
      <c r="C130" s="553"/>
      <c r="D130" s="3"/>
      <c r="E130" s="255"/>
      <c r="F130" s="255"/>
      <c r="G130" s="255"/>
      <c r="H130" s="95"/>
      <c r="I130" s="95"/>
      <c r="L130" s="246"/>
      <c r="M130" s="246"/>
    </row>
    <row r="131" spans="1:14">
      <c r="A131" s="113"/>
      <c r="B131" s="9"/>
      <c r="C131" s="553"/>
      <c r="D131" s="3"/>
      <c r="E131" s="255"/>
      <c r="F131" s="255"/>
      <c r="G131" s="255"/>
      <c r="H131" s="95"/>
      <c r="I131" s="95"/>
      <c r="L131" s="246"/>
      <c r="M131" s="246"/>
    </row>
    <row r="132" spans="1:14">
      <c r="A132" s="111"/>
      <c r="B132" s="9"/>
      <c r="C132" s="553"/>
      <c r="D132" s="3"/>
      <c r="E132" s="255"/>
      <c r="F132" s="255"/>
      <c r="G132" s="255"/>
      <c r="H132" s="95"/>
      <c r="I132" s="95"/>
      <c r="J132" s="246"/>
      <c r="K132" s="246"/>
      <c r="L132" s="246"/>
      <c r="M132" s="246"/>
    </row>
    <row r="133" spans="1:14">
      <c r="A133" s="111"/>
      <c r="B133" s="9"/>
      <c r="C133" s="553"/>
      <c r="D133" s="3"/>
      <c r="E133" s="255"/>
      <c r="F133" s="255"/>
      <c r="G133" s="255"/>
      <c r="H133" s="256"/>
      <c r="I133" s="243"/>
      <c r="J133" s="255"/>
      <c r="K133" s="248"/>
      <c r="L133" s="248"/>
      <c r="M133" s="248"/>
    </row>
    <row r="134" spans="1:14">
      <c r="A134" s="111"/>
      <c r="B134" s="1" t="s">
        <v>147</v>
      </c>
      <c r="C134" s="1"/>
      <c r="D134" s="1"/>
      <c r="E134" s="6" t="s">
        <v>148</v>
      </c>
      <c r="F134" s="6"/>
      <c r="G134" s="1129" t="s">
        <v>13</v>
      </c>
      <c r="H134" s="1129"/>
      <c r="I134" s="1129"/>
      <c r="J134" s="1129"/>
      <c r="L134" s="1111" t="s">
        <v>149</v>
      </c>
      <c r="M134" s="1111"/>
    </row>
    <row r="135" spans="1:14">
      <c r="A135" s="113"/>
      <c r="B135" s="1"/>
      <c r="C135" s="1"/>
      <c r="D135" s="1111"/>
      <c r="E135" s="1111"/>
      <c r="F135" s="1111"/>
      <c r="G135" s="1111"/>
      <c r="H135" s="1111"/>
      <c r="I135" s="1111"/>
      <c r="J135" s="1111"/>
      <c r="K135" s="1111"/>
      <c r="L135" s="1111"/>
      <c r="M135" s="1111"/>
    </row>
    <row r="136" spans="1:14" ht="14.45" customHeight="1">
      <c r="A136" s="111"/>
      <c r="B136" s="1" t="s">
        <v>150</v>
      </c>
      <c r="C136" s="1"/>
      <c r="D136" s="1"/>
      <c r="E136" s="1" t="s">
        <v>151</v>
      </c>
      <c r="F136" s="1"/>
      <c r="G136" s="1179" t="s">
        <v>457</v>
      </c>
      <c r="H136" s="1179"/>
      <c r="I136" s="1179"/>
      <c r="J136" s="1179"/>
      <c r="K136" s="115"/>
      <c r="L136" s="1128" t="s">
        <v>218</v>
      </c>
      <c r="M136" s="1128"/>
    </row>
    <row r="137" spans="1:14">
      <c r="A137" s="111"/>
      <c r="B137" s="1" t="s">
        <v>154</v>
      </c>
      <c r="C137" s="1"/>
      <c r="D137" s="1"/>
      <c r="E137" s="1" t="s">
        <v>155</v>
      </c>
      <c r="F137" s="1"/>
      <c r="G137" s="115"/>
      <c r="H137" s="115"/>
      <c r="I137" s="115"/>
      <c r="J137" s="115"/>
      <c r="K137" s="115"/>
      <c r="L137" s="1111" t="s">
        <v>219</v>
      </c>
      <c r="M137" s="1111"/>
    </row>
    <row r="138" spans="1:14">
      <c r="A138" s="111"/>
      <c r="C138" s="554"/>
    </row>
  </sheetData>
  <mergeCells count="78">
    <mergeCell ref="L107:M107"/>
    <mergeCell ref="A1:M1"/>
    <mergeCell ref="A2:M2"/>
    <mergeCell ref="C3:I3"/>
    <mergeCell ref="A7:F7"/>
    <mergeCell ref="G7:J7"/>
    <mergeCell ref="K7:M7"/>
    <mergeCell ref="E110:F110"/>
    <mergeCell ref="H110:I110"/>
    <mergeCell ref="F100:K100"/>
    <mergeCell ref="D101:J101"/>
    <mergeCell ref="E107:F107"/>
    <mergeCell ref="H107:I107"/>
    <mergeCell ref="J107:K107"/>
    <mergeCell ref="E108:F108"/>
    <mergeCell ref="H108:I108"/>
    <mergeCell ref="J108:K108"/>
    <mergeCell ref="L108:M108"/>
    <mergeCell ref="H109:I109"/>
    <mergeCell ref="H111:I111"/>
    <mergeCell ref="J111:K111"/>
    <mergeCell ref="L111:M111"/>
    <mergeCell ref="E112:F112"/>
    <mergeCell ref="H112:I112"/>
    <mergeCell ref="J112:K112"/>
    <mergeCell ref="L112:M112"/>
    <mergeCell ref="E113:F113"/>
    <mergeCell ref="H113:I113"/>
    <mergeCell ref="J113:K113"/>
    <mergeCell ref="L113:M113"/>
    <mergeCell ref="E114:F114"/>
    <mergeCell ref="H114:I114"/>
    <mergeCell ref="J114:K114"/>
    <mergeCell ref="L114:M114"/>
    <mergeCell ref="E115:F115"/>
    <mergeCell ref="H115:I115"/>
    <mergeCell ref="J115:K115"/>
    <mergeCell ref="L115:M115"/>
    <mergeCell ref="E116:F116"/>
    <mergeCell ref="H116:I116"/>
    <mergeCell ref="J116:K116"/>
    <mergeCell ref="L116:M116"/>
    <mergeCell ref="E124:F124"/>
    <mergeCell ref="H124:I124"/>
    <mergeCell ref="J124:K124"/>
    <mergeCell ref="L124:M124"/>
    <mergeCell ref="E117:F117"/>
    <mergeCell ref="H117:I117"/>
    <mergeCell ref="J117:K117"/>
    <mergeCell ref="L117:M117"/>
    <mergeCell ref="E118:F118"/>
    <mergeCell ref="H118:I118"/>
    <mergeCell ref="J118:K118"/>
    <mergeCell ref="L118:M118"/>
    <mergeCell ref="E120:F120"/>
    <mergeCell ref="E123:F123"/>
    <mergeCell ref="H123:I123"/>
    <mergeCell ref="J123:K123"/>
    <mergeCell ref="L123:M123"/>
    <mergeCell ref="D135:F135"/>
    <mergeCell ref="G135:J135"/>
    <mergeCell ref="K135:M135"/>
    <mergeCell ref="E125:F125"/>
    <mergeCell ref="H125:I125"/>
    <mergeCell ref="J125:K125"/>
    <mergeCell ref="L125:M125"/>
    <mergeCell ref="L126:M126"/>
    <mergeCell ref="H127:I127"/>
    <mergeCell ref="J127:K127"/>
    <mergeCell ref="L127:M127"/>
    <mergeCell ref="G136:J136"/>
    <mergeCell ref="L136:M136"/>
    <mergeCell ref="L137:M137"/>
    <mergeCell ref="H129:I129"/>
    <mergeCell ref="J129:K129"/>
    <mergeCell ref="L129:M129"/>
    <mergeCell ref="G134:J134"/>
    <mergeCell ref="L134:M134"/>
  </mergeCells>
  <pageMargins left="0.70866141732283472" right="0.70866141732283472" top="0.74803149606299213" bottom="0.74803149606299213" header="0.31496062992125984" footer="0.31496062992125984"/>
  <pageSetup paperSize="5" scale="73" orientation="landscape" horizontalDpi="0" verticalDpi="0" r:id="rId1"/>
  <rowBreaks count="2" manualBreakCount="2">
    <brk id="51" max="13" man="1"/>
    <brk id="93" max="13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5E59EA-B60E-4DAE-B700-8BF0D7495682}">
  <dimension ref="A1:M183"/>
  <sheetViews>
    <sheetView topLeftCell="A139" zoomScaleNormal="100" workbookViewId="0">
      <selection activeCell="J169" sqref="J169:M169"/>
    </sheetView>
  </sheetViews>
  <sheetFormatPr baseColWidth="10" defaultRowHeight="15"/>
  <cols>
    <col min="1" max="1" width="8.28515625" bestFit="1" customWidth="1"/>
    <col min="2" max="2" width="38.85546875" customWidth="1"/>
    <col min="3" max="3" width="16.28515625" customWidth="1"/>
    <col min="4" max="4" width="9.5703125" customWidth="1"/>
    <col min="5" max="5" width="13.7109375" customWidth="1"/>
    <col min="6" max="6" width="15.85546875" bestFit="1" customWidth="1"/>
    <col min="7" max="7" width="13.140625" customWidth="1"/>
    <col min="8" max="8" width="11.85546875" customWidth="1"/>
    <col min="9" max="9" width="14.42578125" customWidth="1"/>
    <col min="10" max="10" width="7.140625" bestFit="1" customWidth="1"/>
    <col min="11" max="11" width="14.42578125" customWidth="1"/>
    <col min="12" max="12" width="13.5703125" customWidth="1"/>
    <col min="13" max="13" width="14.140625" bestFit="1" customWidth="1"/>
  </cols>
  <sheetData>
    <row r="1" spans="1:13">
      <c r="A1" s="1111" t="s">
        <v>0</v>
      </c>
      <c r="B1" s="1111"/>
      <c r="C1" s="1111"/>
      <c r="D1" s="1111"/>
      <c r="E1" s="1111"/>
      <c r="F1" s="1111"/>
      <c r="G1" s="1111"/>
      <c r="H1" s="1111"/>
      <c r="I1" s="1111"/>
      <c r="J1" s="1111"/>
      <c r="K1" s="1111"/>
      <c r="L1" s="1111"/>
      <c r="M1" s="1111"/>
    </row>
    <row r="2" spans="1:13">
      <c r="A2" s="1121" t="s">
        <v>1</v>
      </c>
      <c r="B2" s="1121"/>
      <c r="C2" s="1121"/>
      <c r="D2" s="1121"/>
      <c r="E2" s="1121"/>
      <c r="F2" s="1121"/>
      <c r="G2" s="1121"/>
      <c r="H2" s="1121"/>
      <c r="I2" s="1121"/>
      <c r="J2" s="1121"/>
      <c r="K2" s="1121"/>
      <c r="L2" s="1121"/>
      <c r="M2" s="1121"/>
    </row>
    <row r="3" spans="1:13">
      <c r="A3" s="4"/>
      <c r="B3" s="5" t="s">
        <v>3</v>
      </c>
      <c r="C3" s="1141" t="s">
        <v>458</v>
      </c>
      <c r="D3" s="1141"/>
      <c r="E3" s="1141"/>
      <c r="F3" s="1141"/>
      <c r="G3" s="1141"/>
      <c r="H3" s="1141"/>
      <c r="I3" s="1141"/>
      <c r="J3" s="4"/>
      <c r="K3" s="4"/>
      <c r="L3" s="5" t="s">
        <v>5</v>
      </c>
      <c r="M3" s="8" t="s">
        <v>459</v>
      </c>
    </row>
    <row r="4" spans="1:13">
      <c r="A4" s="4"/>
      <c r="B4" s="5" t="s">
        <v>7</v>
      </c>
      <c r="C4" s="9">
        <v>3</v>
      </c>
      <c r="D4" s="4"/>
      <c r="E4" s="6"/>
      <c r="F4" s="6"/>
      <c r="G4" s="6"/>
      <c r="H4" s="4"/>
      <c r="I4" s="4"/>
      <c r="J4" s="4"/>
      <c r="K4" s="4"/>
      <c r="L4" s="5" t="s">
        <v>8</v>
      </c>
      <c r="M4" s="8">
        <v>3298159.3539999998</v>
      </c>
    </row>
    <row r="5" spans="1:13">
      <c r="A5" s="4"/>
      <c r="B5" s="5" t="s">
        <v>9</v>
      </c>
      <c r="C5" s="6" t="s">
        <v>460</v>
      </c>
      <c r="D5" s="6"/>
      <c r="E5" s="6"/>
      <c r="F5" s="6" t="s">
        <v>161</v>
      </c>
      <c r="G5" s="10"/>
      <c r="H5" s="4"/>
      <c r="I5" s="4"/>
      <c r="J5" s="4"/>
      <c r="K5" s="4"/>
      <c r="L5" s="5" t="s">
        <v>11</v>
      </c>
      <c r="M5" s="11" t="s">
        <v>461</v>
      </c>
    </row>
    <row r="6" spans="1:13">
      <c r="A6" s="4"/>
      <c r="B6" s="5" t="s">
        <v>13</v>
      </c>
      <c r="C6" s="6" t="s">
        <v>462</v>
      </c>
      <c r="D6" s="6"/>
      <c r="E6" s="6"/>
      <c r="F6" s="6"/>
      <c r="G6" s="556"/>
      <c r="H6" s="4"/>
      <c r="I6" s="4"/>
      <c r="J6" s="4"/>
      <c r="K6" s="4"/>
      <c r="L6" s="4"/>
      <c r="M6" s="4"/>
    </row>
    <row r="7" spans="1:13">
      <c r="A7" s="1196" t="s">
        <v>164</v>
      </c>
      <c r="B7" s="1196"/>
      <c r="C7" s="1196"/>
      <c r="D7" s="1196"/>
      <c r="E7" s="1196"/>
      <c r="F7" s="1196"/>
      <c r="G7" s="1197" t="s">
        <v>16</v>
      </c>
      <c r="H7" s="1197"/>
      <c r="I7" s="1197"/>
      <c r="J7" s="1197"/>
      <c r="K7" s="1198" t="s">
        <v>17</v>
      </c>
      <c r="L7" s="1198"/>
      <c r="M7" s="1198"/>
    </row>
    <row r="8" spans="1:13">
      <c r="A8" s="120" t="s">
        <v>18</v>
      </c>
      <c r="B8" s="121" t="s">
        <v>19</v>
      </c>
      <c r="C8" s="121" t="s">
        <v>20</v>
      </c>
      <c r="D8" s="121" t="s">
        <v>165</v>
      </c>
      <c r="E8" s="122" t="s">
        <v>22</v>
      </c>
      <c r="F8" s="122" t="s">
        <v>23</v>
      </c>
      <c r="G8" s="123" t="s">
        <v>24</v>
      </c>
      <c r="H8" s="123" t="s">
        <v>25</v>
      </c>
      <c r="I8" s="124" t="s">
        <v>26</v>
      </c>
      <c r="J8" s="125" t="s">
        <v>27</v>
      </c>
      <c r="K8" s="126" t="s">
        <v>24</v>
      </c>
      <c r="L8" s="127" t="s">
        <v>25</v>
      </c>
      <c r="M8" s="127" t="s">
        <v>26</v>
      </c>
    </row>
    <row r="9" spans="1:13">
      <c r="A9" s="557" t="s">
        <v>463</v>
      </c>
      <c r="B9" s="23" t="s">
        <v>464</v>
      </c>
      <c r="C9" s="24"/>
      <c r="D9" s="558"/>
      <c r="E9" s="559"/>
      <c r="F9" s="559"/>
      <c r="G9" s="560"/>
      <c r="H9" s="560"/>
      <c r="I9" s="339"/>
      <c r="J9" s="561"/>
      <c r="K9" s="562"/>
      <c r="L9" s="563"/>
      <c r="M9" s="563"/>
    </row>
    <row r="10" spans="1:13">
      <c r="A10" s="67">
        <v>1</v>
      </c>
      <c r="B10" s="66" t="s">
        <v>465</v>
      </c>
      <c r="C10" s="25" t="s">
        <v>45</v>
      </c>
      <c r="D10" s="564">
        <v>1</v>
      </c>
      <c r="E10" s="565">
        <v>119638.67</v>
      </c>
      <c r="F10" s="566">
        <f>D10*E10</f>
        <v>119638.67</v>
      </c>
      <c r="G10" s="560">
        <v>1</v>
      </c>
      <c r="H10" s="560"/>
      <c r="I10" s="349">
        <f t="shared" ref="I10:I12" si="0">G10+H10</f>
        <v>1</v>
      </c>
      <c r="J10" s="394">
        <f t="shared" ref="J10:J12" si="1">I10/D10*100</f>
        <v>100</v>
      </c>
      <c r="K10" s="567">
        <v>119638.67</v>
      </c>
      <c r="L10" s="568"/>
      <c r="M10" s="563">
        <f>K10+L10</f>
        <v>119638.67</v>
      </c>
    </row>
    <row r="11" spans="1:13">
      <c r="A11" s="67">
        <v>1.02</v>
      </c>
      <c r="B11" s="66" t="s">
        <v>466</v>
      </c>
      <c r="C11" s="25" t="s">
        <v>32</v>
      </c>
      <c r="D11" s="569">
        <v>1</v>
      </c>
      <c r="E11" s="565">
        <v>99756</v>
      </c>
      <c r="F11" s="566">
        <f t="shared" ref="F11:F75" si="2">D11*E11</f>
        <v>99756</v>
      </c>
      <c r="G11" s="560">
        <v>1</v>
      </c>
      <c r="H11" s="560"/>
      <c r="I11" s="349">
        <f t="shared" si="0"/>
        <v>1</v>
      </c>
      <c r="J11" s="394">
        <f t="shared" si="1"/>
        <v>100</v>
      </c>
      <c r="K11" s="567">
        <f>G11*E11</f>
        <v>99756</v>
      </c>
      <c r="L11" s="568"/>
      <c r="M11" s="563">
        <f>K11+L11</f>
        <v>99756</v>
      </c>
    </row>
    <row r="12" spans="1:13" ht="24.75">
      <c r="A12" s="67">
        <v>1.03</v>
      </c>
      <c r="B12" s="66" t="s">
        <v>467</v>
      </c>
      <c r="C12" s="25" t="s">
        <v>32</v>
      </c>
      <c r="D12" s="569">
        <v>1</v>
      </c>
      <c r="E12" s="565">
        <v>15096</v>
      </c>
      <c r="F12" s="566">
        <f t="shared" si="2"/>
        <v>15096</v>
      </c>
      <c r="G12" s="560">
        <v>1</v>
      </c>
      <c r="H12" s="560"/>
      <c r="I12" s="349">
        <f t="shared" si="0"/>
        <v>1</v>
      </c>
      <c r="J12" s="394">
        <f t="shared" si="1"/>
        <v>100</v>
      </c>
      <c r="K12" s="567">
        <f>G12*E12</f>
        <v>15096</v>
      </c>
      <c r="L12" s="568"/>
      <c r="M12" s="563">
        <f>K12+L12</f>
        <v>15096</v>
      </c>
    </row>
    <row r="13" spans="1:13" ht="24.75">
      <c r="A13" s="67">
        <v>1.04</v>
      </c>
      <c r="B13" s="66" t="s">
        <v>468</v>
      </c>
      <c r="C13" s="25" t="s">
        <v>32</v>
      </c>
      <c r="D13" s="569">
        <v>1</v>
      </c>
      <c r="E13" s="565">
        <v>35700</v>
      </c>
      <c r="F13" s="566">
        <f t="shared" si="2"/>
        <v>35700</v>
      </c>
      <c r="G13" s="560"/>
      <c r="H13" s="560"/>
      <c r="I13" s="349"/>
      <c r="J13" s="394"/>
      <c r="K13" s="570">
        <f>SUM(K10:K12)</f>
        <v>234490.66999999998</v>
      </c>
      <c r="L13" s="568"/>
      <c r="M13" s="571">
        <f>L13+K13</f>
        <v>234490.66999999998</v>
      </c>
    </row>
    <row r="14" spans="1:13">
      <c r="A14" s="67"/>
      <c r="B14" s="382" t="s">
        <v>469</v>
      </c>
      <c r="C14" s="45"/>
      <c r="D14" s="572"/>
      <c r="E14" s="573"/>
      <c r="F14" s="574">
        <f>SUM(F10:F13)</f>
        <v>270190.67</v>
      </c>
      <c r="G14" s="560"/>
      <c r="H14" s="560"/>
      <c r="I14" s="349"/>
      <c r="J14" s="394"/>
      <c r="K14" s="575"/>
      <c r="L14" s="576"/>
      <c r="M14" s="571"/>
    </row>
    <row r="15" spans="1:13">
      <c r="A15" s="62">
        <v>2</v>
      </c>
      <c r="B15" s="577" t="s">
        <v>470</v>
      </c>
      <c r="C15" s="77"/>
      <c r="D15" s="578"/>
      <c r="E15" s="579"/>
      <c r="F15" s="580"/>
      <c r="G15" s="560"/>
      <c r="H15" s="560"/>
      <c r="I15" s="349"/>
      <c r="J15" s="394"/>
      <c r="K15" s="567"/>
      <c r="L15" s="568"/>
      <c r="M15" s="563"/>
    </row>
    <row r="16" spans="1:13">
      <c r="A16" s="67">
        <v>2.0099999999999998</v>
      </c>
      <c r="B16" s="581" t="s">
        <v>35</v>
      </c>
      <c r="C16" s="77" t="s">
        <v>36</v>
      </c>
      <c r="D16" s="578">
        <v>16.25</v>
      </c>
      <c r="E16" s="582">
        <f>10873.51/D16</f>
        <v>669.13907692307691</v>
      </c>
      <c r="F16" s="580">
        <f t="shared" si="2"/>
        <v>10873.51</v>
      </c>
      <c r="G16" s="560"/>
      <c r="H16" s="560"/>
      <c r="I16" s="349"/>
      <c r="J16" s="394"/>
      <c r="K16" s="567"/>
      <c r="L16" s="568"/>
      <c r="M16" s="571"/>
    </row>
    <row r="17" spans="1:13">
      <c r="A17" s="67">
        <v>2.02</v>
      </c>
      <c r="B17" s="581" t="s">
        <v>50</v>
      </c>
      <c r="C17" s="77" t="s">
        <v>36</v>
      </c>
      <c r="D17" s="578">
        <v>21.13</v>
      </c>
      <c r="E17" s="579">
        <v>478</v>
      </c>
      <c r="F17" s="580">
        <f>D17*E17</f>
        <v>10100.14</v>
      </c>
      <c r="G17" s="560"/>
      <c r="H17" s="560"/>
      <c r="I17" s="349"/>
      <c r="J17" s="394"/>
      <c r="K17" s="567"/>
      <c r="L17" s="568"/>
      <c r="M17" s="563"/>
    </row>
    <row r="18" spans="1:13" ht="48.75">
      <c r="A18" s="65">
        <v>2.0299999999999998</v>
      </c>
      <c r="B18" s="581" t="s">
        <v>471</v>
      </c>
      <c r="C18" s="77" t="s">
        <v>78</v>
      </c>
      <c r="D18" s="578">
        <v>1</v>
      </c>
      <c r="E18" s="579">
        <v>179431.83</v>
      </c>
      <c r="F18" s="580">
        <f t="shared" si="2"/>
        <v>179431.83</v>
      </c>
      <c r="G18" s="560"/>
      <c r="H18" s="560"/>
      <c r="I18" s="349"/>
      <c r="J18" s="394"/>
      <c r="K18" s="567"/>
      <c r="L18" s="568"/>
      <c r="M18" s="563"/>
    </row>
    <row r="19" spans="1:13">
      <c r="A19" s="67">
        <v>2.04</v>
      </c>
      <c r="B19" s="581" t="s">
        <v>53</v>
      </c>
      <c r="C19" s="77" t="s">
        <v>54</v>
      </c>
      <c r="D19" s="578">
        <v>12</v>
      </c>
      <c r="E19" s="579">
        <v>5250</v>
      </c>
      <c r="F19" s="580">
        <f t="shared" si="2"/>
        <v>63000</v>
      </c>
      <c r="G19" s="560"/>
      <c r="H19" s="560"/>
      <c r="I19" s="349"/>
      <c r="J19" s="394"/>
      <c r="K19" s="567"/>
      <c r="L19" s="568"/>
      <c r="M19" s="563"/>
    </row>
    <row r="20" spans="1:13" ht="24.75">
      <c r="A20" s="67">
        <v>2.0499999999999998</v>
      </c>
      <c r="B20" s="581" t="s">
        <v>59</v>
      </c>
      <c r="C20" s="77" t="s">
        <v>32</v>
      </c>
      <c r="D20" s="578">
        <v>1</v>
      </c>
      <c r="E20" s="579">
        <v>122400</v>
      </c>
      <c r="F20" s="580">
        <f t="shared" si="2"/>
        <v>122400</v>
      </c>
      <c r="G20" s="560"/>
      <c r="H20" s="560"/>
      <c r="I20" s="349"/>
      <c r="J20" s="394"/>
      <c r="K20" s="583"/>
      <c r="L20" s="568"/>
      <c r="M20" s="563"/>
    </row>
    <row r="21" spans="1:13" ht="24">
      <c r="A21" s="67">
        <v>2.06</v>
      </c>
      <c r="B21" s="584" t="s">
        <v>472</v>
      </c>
      <c r="C21" s="77" t="s">
        <v>30</v>
      </c>
      <c r="D21" s="578">
        <v>20</v>
      </c>
      <c r="E21" s="579">
        <f>83410.27/D21</f>
        <v>4170.5135</v>
      </c>
      <c r="F21" s="580">
        <f t="shared" si="2"/>
        <v>83410.27</v>
      </c>
      <c r="G21" s="560"/>
      <c r="H21" s="560"/>
      <c r="I21" s="349"/>
      <c r="J21" s="394"/>
      <c r="K21" s="562"/>
      <c r="L21" s="568"/>
      <c r="M21" s="563"/>
    </row>
    <row r="22" spans="1:13" ht="24.75">
      <c r="A22" s="65">
        <v>2.0699999999999998</v>
      </c>
      <c r="B22" s="581" t="s">
        <v>473</v>
      </c>
      <c r="C22" s="585" t="s">
        <v>45</v>
      </c>
      <c r="D22" s="578">
        <v>1</v>
      </c>
      <c r="E22" s="579">
        <v>15453</v>
      </c>
      <c r="F22" s="580">
        <f t="shared" si="2"/>
        <v>15453</v>
      </c>
      <c r="G22" s="560"/>
      <c r="H22" s="560"/>
      <c r="I22" s="349"/>
      <c r="J22" s="394"/>
      <c r="K22" s="562"/>
      <c r="L22" s="568"/>
      <c r="M22" s="563"/>
    </row>
    <row r="23" spans="1:13">
      <c r="A23" s="67">
        <v>2.08</v>
      </c>
      <c r="B23" s="586" t="s">
        <v>474</v>
      </c>
      <c r="C23" s="77" t="s">
        <v>32</v>
      </c>
      <c r="D23" s="578">
        <v>1</v>
      </c>
      <c r="E23" s="579">
        <v>153000</v>
      </c>
      <c r="F23" s="580">
        <f t="shared" si="2"/>
        <v>153000</v>
      </c>
      <c r="G23" s="560"/>
      <c r="H23" s="560"/>
      <c r="I23" s="349"/>
      <c r="J23" s="394"/>
      <c r="K23" s="587"/>
      <c r="L23" s="568"/>
      <c r="M23" s="563"/>
    </row>
    <row r="24" spans="1:13" ht="24.75">
      <c r="A24" s="67">
        <v>2.09</v>
      </c>
      <c r="B24" s="586" t="s">
        <v>475</v>
      </c>
      <c r="C24" s="77" t="s">
        <v>45</v>
      </c>
      <c r="D24" s="578">
        <v>1</v>
      </c>
      <c r="E24" s="579">
        <f>291120.24/D24</f>
        <v>291120.24</v>
      </c>
      <c r="F24" s="580">
        <f t="shared" si="2"/>
        <v>291120.24</v>
      </c>
      <c r="G24" s="560"/>
      <c r="H24" s="560"/>
      <c r="I24" s="349"/>
      <c r="J24" s="394"/>
      <c r="K24" s="587"/>
      <c r="L24" s="568"/>
      <c r="M24" s="563"/>
    </row>
    <row r="25" spans="1:13" ht="24.75">
      <c r="A25" s="67">
        <v>2.1</v>
      </c>
      <c r="B25" s="586" t="s">
        <v>476</v>
      </c>
      <c r="C25" s="77" t="s">
        <v>45</v>
      </c>
      <c r="D25" s="578">
        <v>1</v>
      </c>
      <c r="E25" s="579">
        <v>126990</v>
      </c>
      <c r="F25" s="580">
        <f t="shared" si="2"/>
        <v>126990</v>
      </c>
      <c r="G25" s="560"/>
      <c r="H25" s="560"/>
      <c r="I25" s="349"/>
      <c r="J25" s="394"/>
      <c r="K25" s="587"/>
      <c r="L25" s="576"/>
      <c r="M25" s="571"/>
    </row>
    <row r="26" spans="1:13" ht="24.75">
      <c r="A26" s="67">
        <v>2.11</v>
      </c>
      <c r="B26" s="586" t="s">
        <v>477</v>
      </c>
      <c r="C26" s="77" t="s">
        <v>45</v>
      </c>
      <c r="D26" s="578">
        <v>1</v>
      </c>
      <c r="E26" s="579">
        <v>38225</v>
      </c>
      <c r="F26" s="580">
        <f t="shared" si="2"/>
        <v>38225</v>
      </c>
      <c r="G26" s="560"/>
      <c r="H26" s="560"/>
      <c r="I26" s="349"/>
      <c r="J26" s="394"/>
      <c r="K26" s="587"/>
      <c r="L26" s="568"/>
      <c r="M26" s="563"/>
    </row>
    <row r="27" spans="1:13">
      <c r="A27" s="67"/>
      <c r="B27" s="588" t="s">
        <v>478</v>
      </c>
      <c r="C27" s="589"/>
      <c r="D27" s="590"/>
      <c r="E27" s="591"/>
      <c r="F27" s="574">
        <f>SUM(F16:F26)</f>
        <v>1094003.99</v>
      </c>
      <c r="G27" s="560"/>
      <c r="H27" s="560"/>
      <c r="I27" s="349"/>
      <c r="J27" s="394"/>
      <c r="K27" s="587"/>
      <c r="L27" s="568"/>
      <c r="M27" s="563"/>
    </row>
    <row r="28" spans="1:13" ht="24.75">
      <c r="A28" s="62">
        <v>3</v>
      </c>
      <c r="B28" s="588" t="s">
        <v>479</v>
      </c>
      <c r="C28" s="589"/>
      <c r="D28" s="590"/>
      <c r="E28" s="591"/>
      <c r="F28" s="580"/>
      <c r="G28" s="560"/>
      <c r="H28" s="560"/>
      <c r="I28" s="349"/>
      <c r="J28" s="394"/>
      <c r="K28" s="587"/>
      <c r="L28" s="568"/>
      <c r="M28" s="563"/>
    </row>
    <row r="29" spans="1:13">
      <c r="A29" s="67">
        <v>3.01</v>
      </c>
      <c r="B29" s="586" t="s">
        <v>480</v>
      </c>
      <c r="C29" s="77" t="s">
        <v>36</v>
      </c>
      <c r="D29" s="578">
        <v>2.2999999999999998</v>
      </c>
      <c r="E29" s="579">
        <v>707.56956000000002</v>
      </c>
      <c r="F29" s="592">
        <f t="shared" si="2"/>
        <v>1627.4099879999999</v>
      </c>
      <c r="G29" s="560"/>
      <c r="H29" s="560"/>
      <c r="I29" s="349"/>
      <c r="J29" s="394"/>
      <c r="K29" s="587"/>
      <c r="L29" s="568"/>
      <c r="M29" s="563"/>
    </row>
    <row r="30" spans="1:13">
      <c r="A30" s="67">
        <v>3.02</v>
      </c>
      <c r="B30" s="586" t="s">
        <v>481</v>
      </c>
      <c r="C30" s="77" t="s">
        <v>36</v>
      </c>
      <c r="D30" s="593">
        <v>0.89</v>
      </c>
      <c r="E30" s="579">
        <v>913</v>
      </c>
      <c r="F30" s="580">
        <f t="shared" si="2"/>
        <v>812.57</v>
      </c>
      <c r="G30" s="560"/>
      <c r="H30" s="560"/>
      <c r="I30" s="349"/>
      <c r="J30" s="394"/>
      <c r="K30" s="587"/>
      <c r="L30" s="568"/>
      <c r="M30" s="563"/>
    </row>
    <row r="31" spans="1:13" ht="24.75">
      <c r="A31" s="67">
        <v>3.03</v>
      </c>
      <c r="B31" s="586" t="s">
        <v>482</v>
      </c>
      <c r="C31" s="77" t="s">
        <v>36</v>
      </c>
      <c r="D31" s="593">
        <v>0.96</v>
      </c>
      <c r="E31" s="579">
        <v>13218.72</v>
      </c>
      <c r="F31" s="592">
        <f t="shared" si="2"/>
        <v>12689.971199999998</v>
      </c>
      <c r="G31" s="560"/>
      <c r="H31" s="560"/>
      <c r="I31" s="349"/>
      <c r="J31" s="394"/>
      <c r="K31" s="587"/>
      <c r="L31" s="568"/>
      <c r="M31" s="563"/>
    </row>
    <row r="32" spans="1:13" ht="24.75">
      <c r="A32" s="67">
        <v>3.04</v>
      </c>
      <c r="B32" s="581" t="s">
        <v>483</v>
      </c>
      <c r="C32" s="77" t="s">
        <v>58</v>
      </c>
      <c r="D32" s="593">
        <v>16</v>
      </c>
      <c r="E32" s="579">
        <f>119107.8/D32</f>
        <v>7444.2375000000002</v>
      </c>
      <c r="F32" s="580">
        <f t="shared" si="2"/>
        <v>119107.8</v>
      </c>
      <c r="G32" s="560"/>
      <c r="H32" s="560"/>
      <c r="I32" s="349"/>
      <c r="J32" s="394"/>
      <c r="K32" s="594"/>
      <c r="L32" s="595"/>
      <c r="M32" s="596"/>
    </row>
    <row r="33" spans="1:13" ht="24.75">
      <c r="A33" s="67">
        <v>3.05</v>
      </c>
      <c r="B33" s="581" t="s">
        <v>484</v>
      </c>
      <c r="C33" s="77" t="s">
        <v>36</v>
      </c>
      <c r="D33" s="593">
        <v>2.2400000000000002</v>
      </c>
      <c r="E33" s="579">
        <f>40308.19/D33</f>
        <v>17994.727678571428</v>
      </c>
      <c r="F33" s="580">
        <f t="shared" si="2"/>
        <v>40308.19</v>
      </c>
      <c r="G33" s="560"/>
      <c r="H33" s="560"/>
      <c r="I33" s="349"/>
      <c r="J33" s="394"/>
      <c r="K33" s="587"/>
      <c r="L33" s="568"/>
      <c r="M33" s="563"/>
    </row>
    <row r="34" spans="1:13">
      <c r="A34" s="67">
        <v>3.06</v>
      </c>
      <c r="B34" s="581" t="s">
        <v>485</v>
      </c>
      <c r="C34" s="77" t="s">
        <v>58</v>
      </c>
      <c r="D34" s="593">
        <v>54.4</v>
      </c>
      <c r="E34" s="579">
        <f>30848.84/D34</f>
        <v>567.07426470588234</v>
      </c>
      <c r="F34" s="580">
        <f t="shared" si="2"/>
        <v>30848.84</v>
      </c>
      <c r="G34" s="560"/>
      <c r="H34" s="560"/>
      <c r="I34" s="349"/>
      <c r="J34" s="394"/>
      <c r="K34" s="587"/>
      <c r="L34" s="568"/>
      <c r="M34" s="563"/>
    </row>
    <row r="35" spans="1:13">
      <c r="A35" s="67">
        <v>3.07</v>
      </c>
      <c r="B35" s="581" t="s">
        <v>486</v>
      </c>
      <c r="C35" s="77" t="s">
        <v>58</v>
      </c>
      <c r="D35" s="593">
        <v>54.4</v>
      </c>
      <c r="E35" s="597">
        <f>11787.04/D35</f>
        <v>216.67352941176472</v>
      </c>
      <c r="F35" s="580">
        <f t="shared" si="2"/>
        <v>11787.04</v>
      </c>
      <c r="G35" s="560"/>
      <c r="H35" s="560"/>
      <c r="I35" s="349"/>
      <c r="J35" s="394"/>
      <c r="K35" s="587"/>
      <c r="L35" s="568"/>
      <c r="M35" s="563"/>
    </row>
    <row r="36" spans="1:13">
      <c r="A36" s="598">
        <v>3.08</v>
      </c>
      <c r="B36" s="581" t="s">
        <v>55</v>
      </c>
      <c r="C36" s="77" t="s">
        <v>32</v>
      </c>
      <c r="D36" s="585">
        <v>1</v>
      </c>
      <c r="E36" s="599">
        <v>52020</v>
      </c>
      <c r="F36" s="580">
        <f t="shared" si="2"/>
        <v>52020</v>
      </c>
      <c r="G36" s="560"/>
      <c r="H36" s="560"/>
      <c r="I36" s="600"/>
      <c r="J36" s="601"/>
      <c r="K36" s="595"/>
      <c r="L36" s="568"/>
      <c r="M36" s="602"/>
    </row>
    <row r="37" spans="1:13" ht="24.75">
      <c r="A37" s="598">
        <v>3.09</v>
      </c>
      <c r="B37" s="586" t="s">
        <v>487</v>
      </c>
      <c r="C37" s="603" t="s">
        <v>32</v>
      </c>
      <c r="D37" s="604">
        <v>1</v>
      </c>
      <c r="E37" s="605">
        <v>13428.68</v>
      </c>
      <c r="F37" s="580">
        <f t="shared" si="2"/>
        <v>13428.68</v>
      </c>
      <c r="G37" s="560"/>
      <c r="H37" s="560"/>
      <c r="I37" s="600"/>
      <c r="J37" s="601"/>
      <c r="K37" s="595"/>
      <c r="L37" s="568"/>
      <c r="M37" s="563"/>
    </row>
    <row r="38" spans="1:13" ht="48.75">
      <c r="A38" s="598">
        <v>3.1</v>
      </c>
      <c r="B38" s="586" t="s">
        <v>488</v>
      </c>
      <c r="C38" s="603" t="s">
        <v>58</v>
      </c>
      <c r="D38" s="604">
        <v>1.44</v>
      </c>
      <c r="E38" s="606">
        <f>4667.39/D38</f>
        <v>3241.2430555555561</v>
      </c>
      <c r="F38" s="580">
        <f t="shared" si="2"/>
        <v>4667.3900000000003</v>
      </c>
      <c r="G38" s="560"/>
      <c r="H38" s="560"/>
      <c r="I38" s="349"/>
      <c r="J38" s="394"/>
      <c r="K38" s="587"/>
      <c r="L38" s="568"/>
      <c r="M38" s="563"/>
    </row>
    <row r="39" spans="1:13" ht="36.75">
      <c r="A39" s="598">
        <v>3.11</v>
      </c>
      <c r="B39" s="586" t="s">
        <v>489</v>
      </c>
      <c r="C39" s="603" t="s">
        <v>32</v>
      </c>
      <c r="D39" s="604">
        <v>1</v>
      </c>
      <c r="E39" s="606">
        <v>7317.64</v>
      </c>
      <c r="F39" s="580">
        <f t="shared" si="2"/>
        <v>7317.64</v>
      </c>
      <c r="G39" s="560"/>
      <c r="H39" s="560"/>
      <c r="I39" s="349"/>
      <c r="J39" s="394"/>
      <c r="K39" s="587"/>
      <c r="L39" s="568"/>
      <c r="M39" s="563"/>
    </row>
    <row r="40" spans="1:13">
      <c r="A40" s="598"/>
      <c r="B40" s="588" t="s">
        <v>490</v>
      </c>
      <c r="C40" s="607"/>
      <c r="D40" s="608"/>
      <c r="E40" s="609"/>
      <c r="F40" s="574">
        <f>SUM(F29:F39)</f>
        <v>294615.53118800005</v>
      </c>
      <c r="G40" s="560"/>
      <c r="H40" s="560"/>
      <c r="I40" s="349"/>
      <c r="J40" s="394"/>
      <c r="K40" s="587"/>
      <c r="L40" s="568"/>
      <c r="M40" s="563"/>
    </row>
    <row r="41" spans="1:13">
      <c r="A41" s="610">
        <v>4</v>
      </c>
      <c r="B41" s="588" t="s">
        <v>491</v>
      </c>
      <c r="C41" s="585"/>
      <c r="D41" s="593"/>
      <c r="E41" s="599"/>
      <c r="F41" s="580"/>
      <c r="G41" s="349"/>
      <c r="H41" s="349"/>
      <c r="I41" s="349"/>
      <c r="J41" s="394"/>
      <c r="K41" s="587"/>
      <c r="L41" s="568"/>
      <c r="M41" s="563"/>
    </row>
    <row r="42" spans="1:13">
      <c r="A42" s="611">
        <v>4.01</v>
      </c>
      <c r="B42" s="586" t="s">
        <v>35</v>
      </c>
      <c r="C42" s="77" t="s">
        <v>36</v>
      </c>
      <c r="D42" s="593">
        <v>67.86</v>
      </c>
      <c r="E42" s="579">
        <f>45407.77/D42</f>
        <v>669.13896256999703</v>
      </c>
      <c r="F42" s="580">
        <f t="shared" si="2"/>
        <v>45407.77</v>
      </c>
      <c r="G42" s="349"/>
      <c r="H42" s="349"/>
      <c r="I42" s="349"/>
      <c r="J42" s="394"/>
      <c r="K42" s="587"/>
      <c r="L42" s="568"/>
      <c r="M42" s="563"/>
    </row>
    <row r="43" spans="1:13" ht="24.75">
      <c r="A43" s="611">
        <v>4.0199999999999996</v>
      </c>
      <c r="B43" s="586" t="s">
        <v>492</v>
      </c>
      <c r="C43" s="77" t="s">
        <v>32</v>
      </c>
      <c r="D43" s="593">
        <v>1</v>
      </c>
      <c r="E43" s="579">
        <v>36720</v>
      </c>
      <c r="F43" s="580">
        <f t="shared" si="2"/>
        <v>36720</v>
      </c>
      <c r="G43" s="349"/>
      <c r="H43" s="349"/>
      <c r="I43" s="349"/>
      <c r="J43" s="394"/>
      <c r="K43" s="587"/>
      <c r="L43" s="568"/>
      <c r="M43" s="563"/>
    </row>
    <row r="44" spans="1:13">
      <c r="A44" s="611">
        <v>4.03</v>
      </c>
      <c r="B44" s="586" t="s">
        <v>493</v>
      </c>
      <c r="C44" s="77" t="s">
        <v>32</v>
      </c>
      <c r="D44" s="593">
        <v>1</v>
      </c>
      <c r="E44" s="579">
        <v>5202</v>
      </c>
      <c r="F44" s="580">
        <f t="shared" si="2"/>
        <v>5202</v>
      </c>
      <c r="G44" s="349"/>
      <c r="H44" s="349"/>
      <c r="I44" s="349"/>
      <c r="J44" s="394"/>
      <c r="K44" s="587"/>
      <c r="L44" s="568"/>
      <c r="M44" s="563"/>
    </row>
    <row r="45" spans="1:13" ht="24">
      <c r="A45" s="598">
        <v>4.04</v>
      </c>
      <c r="B45" s="612" t="s">
        <v>494</v>
      </c>
      <c r="C45" s="77" t="s">
        <v>36</v>
      </c>
      <c r="D45" s="585">
        <v>62.5</v>
      </c>
      <c r="E45" s="599">
        <v>9240</v>
      </c>
      <c r="F45" s="580">
        <f t="shared" si="2"/>
        <v>577500</v>
      </c>
      <c r="G45" s="560"/>
      <c r="H45" s="349"/>
      <c r="I45" s="600"/>
      <c r="J45" s="601"/>
      <c r="K45" s="595"/>
      <c r="L45" s="613"/>
      <c r="M45" s="596"/>
    </row>
    <row r="46" spans="1:13">
      <c r="A46" s="598">
        <v>4.05</v>
      </c>
      <c r="B46" s="586" t="s">
        <v>495</v>
      </c>
      <c r="C46" s="603" t="s">
        <v>496</v>
      </c>
      <c r="D46" s="604">
        <v>116.25</v>
      </c>
      <c r="E46" s="605">
        <v>4235</v>
      </c>
      <c r="F46" s="580">
        <f t="shared" si="2"/>
        <v>492318.75</v>
      </c>
      <c r="G46" s="560"/>
      <c r="H46" s="349"/>
      <c r="I46" s="600"/>
      <c r="J46" s="601"/>
      <c r="K46" s="595"/>
      <c r="L46" s="614"/>
      <c r="M46" s="563"/>
    </row>
    <row r="47" spans="1:13">
      <c r="A47" s="598">
        <v>4.0599999999999996</v>
      </c>
      <c r="B47" s="586" t="s">
        <v>497</v>
      </c>
      <c r="C47" s="603" t="s">
        <v>498</v>
      </c>
      <c r="D47" s="604">
        <v>132.53</v>
      </c>
      <c r="E47" s="606">
        <v>105</v>
      </c>
      <c r="F47" s="580">
        <f t="shared" si="2"/>
        <v>13915.65</v>
      </c>
      <c r="G47" s="560"/>
      <c r="H47" s="349"/>
      <c r="I47" s="600"/>
      <c r="J47" s="601"/>
      <c r="K47" s="595"/>
      <c r="L47" s="614"/>
      <c r="M47" s="563"/>
    </row>
    <row r="48" spans="1:13">
      <c r="A48" s="598">
        <v>4.07</v>
      </c>
      <c r="B48" s="586" t="s">
        <v>499</v>
      </c>
      <c r="C48" s="603" t="s">
        <v>32</v>
      </c>
      <c r="D48" s="604">
        <v>1</v>
      </c>
      <c r="E48" s="606">
        <v>10800</v>
      </c>
      <c r="F48" s="580">
        <f t="shared" si="2"/>
        <v>10800</v>
      </c>
      <c r="G48" s="560"/>
      <c r="H48" s="349"/>
      <c r="I48" s="600"/>
      <c r="J48" s="601"/>
      <c r="K48" s="595"/>
      <c r="L48" s="614"/>
      <c r="M48" s="563"/>
    </row>
    <row r="49" spans="1:13">
      <c r="A49" s="598">
        <v>4.08</v>
      </c>
      <c r="B49" s="586" t="s">
        <v>500</v>
      </c>
      <c r="C49" s="603" t="s">
        <v>30</v>
      </c>
      <c r="D49" s="615">
        <v>24</v>
      </c>
      <c r="E49" s="616">
        <v>22569.75</v>
      </c>
      <c r="F49" s="580">
        <f t="shared" si="2"/>
        <v>541674</v>
      </c>
      <c r="G49" s="560"/>
      <c r="H49" s="349"/>
      <c r="I49" s="600"/>
      <c r="J49" s="601"/>
      <c r="K49" s="595"/>
      <c r="L49" s="614"/>
      <c r="M49" s="563"/>
    </row>
    <row r="50" spans="1:13">
      <c r="A50" s="598">
        <v>4.09</v>
      </c>
      <c r="B50" s="586" t="s">
        <v>336</v>
      </c>
      <c r="C50" s="603" t="s">
        <v>32</v>
      </c>
      <c r="D50" s="615">
        <v>1</v>
      </c>
      <c r="E50" s="616">
        <v>30000</v>
      </c>
      <c r="F50" s="580">
        <f t="shared" si="2"/>
        <v>30000</v>
      </c>
      <c r="G50" s="560"/>
      <c r="H50" s="349"/>
      <c r="I50" s="600"/>
      <c r="J50" s="601"/>
      <c r="K50" s="595"/>
      <c r="L50" s="614"/>
      <c r="M50" s="563"/>
    </row>
    <row r="51" spans="1:13">
      <c r="A51" s="611">
        <v>4.0999999999999996</v>
      </c>
      <c r="B51" s="586" t="s">
        <v>501</v>
      </c>
      <c r="C51" s="77" t="s">
        <v>36</v>
      </c>
      <c r="D51" s="593">
        <v>30</v>
      </c>
      <c r="E51" s="579">
        <f>96377.3/D51</f>
        <v>3212.5766666666668</v>
      </c>
      <c r="F51" s="580">
        <f t="shared" si="2"/>
        <v>96377.3</v>
      </c>
      <c r="G51" s="560"/>
      <c r="H51" s="349"/>
      <c r="I51" s="600"/>
      <c r="J51" s="601"/>
      <c r="K51" s="595"/>
      <c r="L51" s="614"/>
      <c r="M51" s="563"/>
    </row>
    <row r="52" spans="1:13">
      <c r="A52" s="611">
        <v>4.1100000000000003</v>
      </c>
      <c r="B52" s="586" t="s">
        <v>93</v>
      </c>
      <c r="C52" s="77" t="s">
        <v>32</v>
      </c>
      <c r="D52" s="593">
        <v>1</v>
      </c>
      <c r="E52" s="579">
        <v>54113</v>
      </c>
      <c r="F52" s="580">
        <f t="shared" si="2"/>
        <v>54113</v>
      </c>
      <c r="G52" s="560"/>
      <c r="H52" s="349"/>
      <c r="I52" s="600"/>
      <c r="J52" s="601"/>
      <c r="K52" s="595"/>
      <c r="L52" s="614"/>
      <c r="M52" s="563"/>
    </row>
    <row r="53" spans="1:13">
      <c r="A53" s="611">
        <v>4.12</v>
      </c>
      <c r="B53" s="586" t="s">
        <v>502</v>
      </c>
      <c r="C53" s="77" t="s">
        <v>32</v>
      </c>
      <c r="D53" s="593">
        <v>1</v>
      </c>
      <c r="E53" s="579">
        <v>51314.06</v>
      </c>
      <c r="F53" s="580">
        <f t="shared" si="2"/>
        <v>51314.06</v>
      </c>
      <c r="G53" s="560"/>
      <c r="H53" s="349"/>
      <c r="I53" s="600"/>
      <c r="J53" s="601"/>
      <c r="K53" s="595"/>
      <c r="L53" s="614"/>
      <c r="M53" s="563"/>
    </row>
    <row r="54" spans="1:13" ht="24">
      <c r="A54" s="598">
        <v>4.13</v>
      </c>
      <c r="B54" s="612" t="s">
        <v>503</v>
      </c>
      <c r="C54" s="77" t="s">
        <v>45</v>
      </c>
      <c r="D54" s="585">
        <v>1</v>
      </c>
      <c r="E54" s="599">
        <v>41225</v>
      </c>
      <c r="F54" s="580">
        <f t="shared" si="2"/>
        <v>41225</v>
      </c>
      <c r="G54" s="560"/>
      <c r="H54" s="349"/>
      <c r="I54" s="600"/>
      <c r="J54" s="601"/>
      <c r="K54" s="595"/>
      <c r="L54" s="614"/>
      <c r="M54" s="563"/>
    </row>
    <row r="55" spans="1:13" ht="24.75">
      <c r="A55" s="598">
        <v>4.1399999999999997</v>
      </c>
      <c r="B55" s="586" t="s">
        <v>504</v>
      </c>
      <c r="C55" s="603" t="s">
        <v>78</v>
      </c>
      <c r="D55" s="604">
        <v>1</v>
      </c>
      <c r="E55" s="605">
        <v>51298</v>
      </c>
      <c r="F55" s="580">
        <f t="shared" si="2"/>
        <v>51298</v>
      </c>
      <c r="G55" s="560"/>
      <c r="H55" s="349"/>
      <c r="I55" s="600"/>
      <c r="J55" s="601"/>
      <c r="K55" s="595"/>
      <c r="L55" s="614"/>
      <c r="M55" s="563"/>
    </row>
    <row r="56" spans="1:13">
      <c r="A56" s="598">
        <v>4.1500000000000004</v>
      </c>
      <c r="B56" s="586" t="s">
        <v>505</v>
      </c>
      <c r="C56" s="603" t="s">
        <v>78</v>
      </c>
      <c r="D56" s="604">
        <v>1</v>
      </c>
      <c r="E56" s="606">
        <v>9333</v>
      </c>
      <c r="F56" s="580">
        <f t="shared" si="2"/>
        <v>9333</v>
      </c>
      <c r="G56" s="560"/>
      <c r="H56" s="349"/>
      <c r="I56" s="600"/>
      <c r="J56" s="601"/>
      <c r="K56" s="595"/>
      <c r="L56" s="614"/>
      <c r="M56" s="563"/>
    </row>
    <row r="57" spans="1:13">
      <c r="A57" s="598"/>
      <c r="B57" s="588" t="s">
        <v>506</v>
      </c>
      <c r="C57" s="607"/>
      <c r="D57" s="617"/>
      <c r="E57" s="618"/>
      <c r="F57" s="574">
        <f>SUM(F42:F56)</f>
        <v>2057198.53</v>
      </c>
      <c r="G57" s="560"/>
      <c r="H57" s="349"/>
      <c r="I57" s="600"/>
      <c r="J57" s="601"/>
      <c r="K57" s="595"/>
      <c r="L57" s="614"/>
      <c r="M57" s="563"/>
    </row>
    <row r="58" spans="1:13">
      <c r="A58" s="610">
        <v>5</v>
      </c>
      <c r="B58" s="588" t="s">
        <v>507</v>
      </c>
      <c r="C58" s="603"/>
      <c r="D58" s="604"/>
      <c r="E58" s="606"/>
      <c r="F58" s="580"/>
      <c r="G58" s="560"/>
      <c r="H58" s="349"/>
      <c r="I58" s="600"/>
      <c r="J58" s="601"/>
      <c r="K58" s="595"/>
      <c r="L58" s="614"/>
      <c r="M58" s="563"/>
    </row>
    <row r="59" spans="1:13">
      <c r="A59" s="598">
        <v>5.01</v>
      </c>
      <c r="B59" s="586" t="s">
        <v>508</v>
      </c>
      <c r="C59" s="603" t="s">
        <v>509</v>
      </c>
      <c r="D59" s="604">
        <v>160</v>
      </c>
      <c r="E59" s="606">
        <v>1122</v>
      </c>
      <c r="F59" s="580">
        <f t="shared" si="2"/>
        <v>179520</v>
      </c>
      <c r="G59" s="560"/>
      <c r="H59" s="349"/>
      <c r="I59" s="600"/>
      <c r="J59" s="601"/>
      <c r="K59" s="595"/>
      <c r="L59" s="614"/>
      <c r="M59" s="563"/>
    </row>
    <row r="60" spans="1:13">
      <c r="A60" s="598">
        <v>5.0199999999999996</v>
      </c>
      <c r="B60" s="586" t="s">
        <v>510</v>
      </c>
      <c r="C60" s="603" t="s">
        <v>509</v>
      </c>
      <c r="D60" s="604">
        <v>160</v>
      </c>
      <c r="E60" s="606">
        <v>153</v>
      </c>
      <c r="F60" s="580">
        <f t="shared" si="2"/>
        <v>24480</v>
      </c>
      <c r="G60" s="560"/>
      <c r="H60" s="349"/>
      <c r="I60" s="600"/>
      <c r="J60" s="601"/>
      <c r="K60" s="595"/>
      <c r="L60" s="614"/>
      <c r="M60" s="563"/>
    </row>
    <row r="61" spans="1:13" ht="24.75">
      <c r="A61" s="598">
        <v>5.03</v>
      </c>
      <c r="B61" s="586" t="s">
        <v>511</v>
      </c>
      <c r="C61" s="603" t="s">
        <v>509</v>
      </c>
      <c r="D61" s="604">
        <v>120</v>
      </c>
      <c r="E61" s="606">
        <v>252</v>
      </c>
      <c r="F61" s="580">
        <f t="shared" si="2"/>
        <v>30240</v>
      </c>
      <c r="G61" s="560"/>
      <c r="H61" s="349"/>
      <c r="I61" s="600"/>
      <c r="J61" s="601"/>
      <c r="K61" s="595"/>
      <c r="L61" s="614"/>
      <c r="M61" s="563"/>
    </row>
    <row r="62" spans="1:13">
      <c r="A62" s="598">
        <v>5.04</v>
      </c>
      <c r="B62" s="586" t="s">
        <v>512</v>
      </c>
      <c r="C62" s="603" t="s">
        <v>45</v>
      </c>
      <c r="D62" s="604">
        <v>2</v>
      </c>
      <c r="E62" s="606">
        <v>3306.07</v>
      </c>
      <c r="F62" s="580">
        <f t="shared" si="2"/>
        <v>6612.14</v>
      </c>
      <c r="G62" s="560"/>
      <c r="H62" s="349"/>
      <c r="I62" s="600"/>
      <c r="J62" s="601"/>
      <c r="K62" s="595"/>
      <c r="L62" s="614"/>
      <c r="M62" s="563"/>
    </row>
    <row r="63" spans="1:13">
      <c r="A63" s="598">
        <v>5.05</v>
      </c>
      <c r="B63" s="586" t="s">
        <v>513</v>
      </c>
      <c r="C63" s="603" t="s">
        <v>45</v>
      </c>
      <c r="D63" s="604">
        <v>160</v>
      </c>
      <c r="E63" s="606">
        <v>57400</v>
      </c>
      <c r="F63" s="580">
        <f t="shared" si="2"/>
        <v>9184000</v>
      </c>
      <c r="G63" s="560"/>
      <c r="H63" s="349"/>
      <c r="I63" s="600"/>
      <c r="J63" s="601"/>
      <c r="K63" s="595"/>
      <c r="L63" s="614"/>
      <c r="M63" s="563"/>
    </row>
    <row r="64" spans="1:13">
      <c r="A64" s="598">
        <v>5.0599999999999996</v>
      </c>
      <c r="B64" s="586" t="s">
        <v>514</v>
      </c>
      <c r="C64" s="603" t="s">
        <v>45</v>
      </c>
      <c r="D64" s="604">
        <v>2</v>
      </c>
      <c r="E64" s="606">
        <v>5000</v>
      </c>
      <c r="F64" s="580">
        <f t="shared" si="2"/>
        <v>10000</v>
      </c>
      <c r="G64" s="560"/>
      <c r="H64" s="349"/>
      <c r="I64" s="600"/>
      <c r="J64" s="601"/>
      <c r="K64" s="595"/>
      <c r="L64" s="614"/>
      <c r="M64" s="563"/>
    </row>
    <row r="65" spans="1:13" ht="24.75">
      <c r="A65" s="598">
        <v>5.07</v>
      </c>
      <c r="B65" s="586" t="s">
        <v>515</v>
      </c>
      <c r="C65" s="603" t="s">
        <v>45</v>
      </c>
      <c r="D65" s="604">
        <v>2</v>
      </c>
      <c r="E65" s="606">
        <v>10000</v>
      </c>
      <c r="F65" s="580">
        <f t="shared" si="2"/>
        <v>20000</v>
      </c>
      <c r="G65" s="560">
        <v>2</v>
      </c>
      <c r="H65" s="349"/>
      <c r="I65" s="600">
        <f>G65+H65</f>
        <v>2</v>
      </c>
      <c r="J65" s="601">
        <f>G65/D65*100</f>
        <v>100</v>
      </c>
      <c r="K65" s="619">
        <v>20000</v>
      </c>
      <c r="L65" s="614"/>
      <c r="M65" s="614">
        <f>K65+L65</f>
        <v>20000</v>
      </c>
    </row>
    <row r="66" spans="1:13" ht="24.75">
      <c r="A66" s="598">
        <v>5.08</v>
      </c>
      <c r="B66" s="586" t="s">
        <v>516</v>
      </c>
      <c r="C66" s="603" t="s">
        <v>32</v>
      </c>
      <c r="D66" s="604">
        <v>2</v>
      </c>
      <c r="E66" s="606">
        <v>15000</v>
      </c>
      <c r="F66" s="580">
        <f t="shared" si="2"/>
        <v>30000</v>
      </c>
      <c r="G66" s="560">
        <v>2</v>
      </c>
      <c r="H66" s="349"/>
      <c r="I66" s="600">
        <f t="shared" ref="I66:I67" si="3">G66+H66</f>
        <v>2</v>
      </c>
      <c r="J66" s="601">
        <f t="shared" ref="J66:J67" si="4">G66/D66*100</f>
        <v>100</v>
      </c>
      <c r="K66" s="619">
        <v>30000</v>
      </c>
      <c r="L66" s="614"/>
      <c r="M66" s="614">
        <f t="shared" ref="M66" si="5">K66+L66</f>
        <v>30000</v>
      </c>
    </row>
    <row r="67" spans="1:13" ht="24.75">
      <c r="A67" s="598">
        <v>5.09</v>
      </c>
      <c r="B67" s="586" t="s">
        <v>517</v>
      </c>
      <c r="C67" s="603" t="s">
        <v>45</v>
      </c>
      <c r="D67" s="604">
        <v>2</v>
      </c>
      <c r="E67" s="606">
        <v>1500</v>
      </c>
      <c r="F67" s="580">
        <f t="shared" si="2"/>
        <v>3000</v>
      </c>
      <c r="G67" s="560">
        <v>2</v>
      </c>
      <c r="H67" s="349"/>
      <c r="I67" s="600">
        <f t="shared" si="3"/>
        <v>2</v>
      </c>
      <c r="J67" s="601">
        <f t="shared" si="4"/>
        <v>100</v>
      </c>
      <c r="K67" s="619">
        <v>3000</v>
      </c>
      <c r="L67" s="614"/>
      <c r="M67" s="614">
        <v>3000</v>
      </c>
    </row>
    <row r="68" spans="1:13">
      <c r="A68" s="598"/>
      <c r="B68" s="588" t="s">
        <v>518</v>
      </c>
      <c r="C68" s="607"/>
      <c r="D68" s="617"/>
      <c r="E68" s="618"/>
      <c r="F68" s="574">
        <f>SUM(F59:F67)</f>
        <v>9487852.1400000006</v>
      </c>
      <c r="G68" s="560"/>
      <c r="H68" s="349"/>
      <c r="I68" s="600"/>
      <c r="J68" s="601"/>
      <c r="K68" s="595">
        <f>SUM(K65:K67)</f>
        <v>53000</v>
      </c>
      <c r="L68" s="620"/>
      <c r="M68" s="620">
        <f>SUM(M65:M67)</f>
        <v>53000</v>
      </c>
    </row>
    <row r="69" spans="1:13" ht="24.75">
      <c r="A69" s="610">
        <v>6</v>
      </c>
      <c r="B69" s="452" t="s">
        <v>519</v>
      </c>
      <c r="C69" s="621"/>
      <c r="D69" s="622"/>
      <c r="E69" s="623"/>
      <c r="F69" s="566"/>
      <c r="G69" s="560"/>
      <c r="H69" s="349"/>
      <c r="I69" s="600"/>
      <c r="J69" s="601"/>
      <c r="K69" s="595"/>
      <c r="L69" s="614"/>
      <c r="M69" s="563"/>
    </row>
    <row r="70" spans="1:13">
      <c r="A70" s="598">
        <v>6.01</v>
      </c>
      <c r="B70" s="523" t="s">
        <v>520</v>
      </c>
      <c r="C70" s="621" t="s">
        <v>32</v>
      </c>
      <c r="D70" s="622">
        <v>1</v>
      </c>
      <c r="E70" s="623">
        <v>30600</v>
      </c>
      <c r="F70" s="566">
        <f t="shared" si="2"/>
        <v>30600</v>
      </c>
      <c r="G70" s="560">
        <v>1</v>
      </c>
      <c r="H70" s="349"/>
      <c r="I70" s="600">
        <f>G70+H70</f>
        <v>1</v>
      </c>
      <c r="J70" s="601">
        <f t="shared" ref="J70:J71" si="6">G70/D70*100</f>
        <v>100</v>
      </c>
      <c r="K70" s="613">
        <f>G70*E70</f>
        <v>30600</v>
      </c>
      <c r="L70" s="613"/>
      <c r="M70" s="613">
        <f>K70+L70</f>
        <v>30600</v>
      </c>
    </row>
    <row r="71" spans="1:13">
      <c r="A71" s="598">
        <v>6.02</v>
      </c>
      <c r="B71" s="523" t="s">
        <v>521</v>
      </c>
      <c r="C71" s="621" t="s">
        <v>32</v>
      </c>
      <c r="D71" s="622">
        <v>1</v>
      </c>
      <c r="E71" s="623">
        <v>76500</v>
      </c>
      <c r="F71" s="566">
        <f t="shared" si="2"/>
        <v>76500</v>
      </c>
      <c r="G71" s="560">
        <v>1</v>
      </c>
      <c r="H71" s="349"/>
      <c r="I71" s="600">
        <f t="shared" ref="I71:I72" si="7">G71+H71</f>
        <v>1</v>
      </c>
      <c r="J71" s="601">
        <f t="shared" si="6"/>
        <v>100</v>
      </c>
      <c r="K71" s="613">
        <f t="shared" ref="K71:K72" si="8">G71*E71</f>
        <v>76500</v>
      </c>
      <c r="L71" s="613"/>
      <c r="M71" s="613">
        <f t="shared" ref="M71:M72" si="9">K71+L71</f>
        <v>76500</v>
      </c>
    </row>
    <row r="72" spans="1:13" ht="24.75">
      <c r="A72" s="598">
        <v>6.03</v>
      </c>
      <c r="B72" s="523" t="s">
        <v>522</v>
      </c>
      <c r="C72" s="621" t="s">
        <v>32</v>
      </c>
      <c r="D72" s="622">
        <v>1</v>
      </c>
      <c r="E72" s="623">
        <v>30600</v>
      </c>
      <c r="F72" s="566">
        <f t="shared" si="2"/>
        <v>30600</v>
      </c>
      <c r="G72" s="560">
        <v>1</v>
      </c>
      <c r="H72" s="349"/>
      <c r="I72" s="600">
        <f t="shared" si="7"/>
        <v>1</v>
      </c>
      <c r="J72" s="601">
        <f>G72/D72*100</f>
        <v>100</v>
      </c>
      <c r="K72" s="613">
        <f t="shared" si="8"/>
        <v>30600</v>
      </c>
      <c r="L72" s="613"/>
      <c r="M72" s="613">
        <f t="shared" si="9"/>
        <v>30600</v>
      </c>
    </row>
    <row r="73" spans="1:13">
      <c r="A73" s="598"/>
      <c r="B73" s="452" t="s">
        <v>523</v>
      </c>
      <c r="C73" s="624"/>
      <c r="D73" s="625"/>
      <c r="E73" s="626"/>
      <c r="F73" s="574">
        <f>SUM(F70:F72)</f>
        <v>137700</v>
      </c>
      <c r="G73" s="560"/>
      <c r="H73" s="349"/>
      <c r="I73" s="600"/>
      <c r="J73" s="627"/>
      <c r="K73" s="595">
        <f>SUM(K70:K72)</f>
        <v>137700</v>
      </c>
      <c r="L73" s="620"/>
      <c r="M73" s="620">
        <f>K73+L73</f>
        <v>137700</v>
      </c>
    </row>
    <row r="74" spans="1:13">
      <c r="A74" s="610">
        <v>1</v>
      </c>
      <c r="B74" s="452" t="s">
        <v>126</v>
      </c>
      <c r="C74" s="621"/>
      <c r="D74" s="622"/>
      <c r="E74" s="623"/>
      <c r="F74" s="566"/>
      <c r="G74" s="560"/>
      <c r="H74" s="349"/>
      <c r="I74" s="600"/>
      <c r="J74" s="627"/>
      <c r="K74" s="595"/>
      <c r="L74" s="614"/>
      <c r="M74" s="563"/>
    </row>
    <row r="75" spans="1:13" ht="24.75">
      <c r="A75" s="598">
        <v>1.01</v>
      </c>
      <c r="B75" s="523" t="s">
        <v>524</v>
      </c>
      <c r="C75" s="621" t="s">
        <v>32</v>
      </c>
      <c r="D75" s="622">
        <v>1</v>
      </c>
      <c r="E75" s="623">
        <v>76500</v>
      </c>
      <c r="F75" s="566">
        <f t="shared" si="2"/>
        <v>76500</v>
      </c>
      <c r="G75" s="560"/>
      <c r="H75" s="349"/>
      <c r="I75" s="600"/>
      <c r="J75" s="627"/>
      <c r="K75" s="595"/>
      <c r="L75" s="614"/>
      <c r="M75" s="563"/>
    </row>
    <row r="76" spans="1:13">
      <c r="A76" s="598"/>
      <c r="B76" s="452" t="s">
        <v>257</v>
      </c>
      <c r="C76" s="621"/>
      <c r="D76" s="628"/>
      <c r="E76" s="629"/>
      <c r="F76" s="574">
        <f>F75</f>
        <v>76500</v>
      </c>
      <c r="G76" s="560"/>
      <c r="H76" s="349"/>
      <c r="I76" s="600"/>
      <c r="J76" s="627"/>
      <c r="K76" s="595"/>
      <c r="L76" s="614"/>
      <c r="M76" s="563"/>
    </row>
    <row r="77" spans="1:13">
      <c r="A77" s="4"/>
      <c r="B77" s="6" t="s">
        <v>525</v>
      </c>
      <c r="C77" s="4"/>
      <c r="D77" s="4"/>
      <c r="E77" s="630"/>
      <c r="F77" s="321">
        <f>F76+F73+F68+F57+F40+F27+F14-0.02</f>
        <v>13418060.841188001</v>
      </c>
      <c r="G77" s="4"/>
      <c r="H77" s="4"/>
      <c r="I77" s="4"/>
      <c r="J77" s="4"/>
      <c r="K77" s="421"/>
      <c r="L77" s="242"/>
      <c r="M77" s="427"/>
    </row>
    <row r="78" spans="1:13">
      <c r="A78" s="4"/>
      <c r="B78" s="6"/>
      <c r="C78" s="4"/>
      <c r="D78" s="4"/>
      <c r="E78" s="630"/>
      <c r="F78" s="321"/>
      <c r="G78" s="4"/>
      <c r="H78" s="4"/>
      <c r="I78" s="4"/>
      <c r="J78" s="4"/>
      <c r="K78" s="421"/>
      <c r="L78" s="242"/>
      <c r="M78" s="427"/>
    </row>
    <row r="79" spans="1:13">
      <c r="A79" s="232"/>
      <c r="B79" s="6" t="s">
        <v>526</v>
      </c>
      <c r="C79" s="4"/>
      <c r="D79" s="4"/>
      <c r="E79" s="112"/>
      <c r="F79" s="541"/>
      <c r="G79" s="235"/>
      <c r="H79" s="631"/>
      <c r="I79" s="632"/>
      <c r="J79" s="633"/>
      <c r="K79" s="634"/>
      <c r="L79" s="635"/>
      <c r="M79" s="636"/>
    </row>
    <row r="80" spans="1:13">
      <c r="A80" s="1193" t="s">
        <v>527</v>
      </c>
      <c r="B80" s="1193"/>
      <c r="C80" s="1193"/>
      <c r="D80" s="1193"/>
      <c r="E80" s="1193"/>
      <c r="F80" s="1193"/>
      <c r="G80" s="1194" t="s">
        <v>16</v>
      </c>
      <c r="H80" s="1194"/>
      <c r="I80" s="1194"/>
      <c r="J80" s="1194"/>
      <c r="K80" s="1195" t="s">
        <v>17</v>
      </c>
      <c r="L80" s="1195"/>
      <c r="M80" s="1195"/>
    </row>
    <row r="81" spans="1:13" ht="24.75">
      <c r="A81" s="637" t="s">
        <v>18</v>
      </c>
      <c r="B81" s="638" t="s">
        <v>19</v>
      </c>
      <c r="C81" s="638" t="s">
        <v>78</v>
      </c>
      <c r="D81" s="638" t="s">
        <v>21</v>
      </c>
      <c r="E81" s="638" t="s">
        <v>528</v>
      </c>
      <c r="F81" s="638" t="s">
        <v>23</v>
      </c>
      <c r="G81" s="639" t="s">
        <v>24</v>
      </c>
      <c r="H81" s="639" t="s">
        <v>25</v>
      </c>
      <c r="I81" s="639" t="s">
        <v>26</v>
      </c>
      <c r="J81" s="639" t="s">
        <v>27</v>
      </c>
      <c r="K81" s="640" t="s">
        <v>24</v>
      </c>
      <c r="L81" s="640" t="s">
        <v>25</v>
      </c>
      <c r="M81" s="640" t="s">
        <v>26</v>
      </c>
    </row>
    <row r="82" spans="1:13">
      <c r="A82" s="637" t="s">
        <v>529</v>
      </c>
      <c r="B82" s="638" t="s">
        <v>530</v>
      </c>
      <c r="C82" s="638"/>
      <c r="D82" s="638"/>
      <c r="E82" s="638"/>
      <c r="F82" s="638"/>
      <c r="G82" s="639"/>
      <c r="H82" s="639"/>
      <c r="I82" s="639"/>
      <c r="J82" s="639"/>
      <c r="K82" s="640"/>
      <c r="L82" s="640"/>
      <c r="M82" s="640"/>
    </row>
    <row r="83" spans="1:13">
      <c r="A83" s="641">
        <v>1.01</v>
      </c>
      <c r="B83" s="642" t="s">
        <v>50</v>
      </c>
      <c r="C83" s="598" t="s">
        <v>32</v>
      </c>
      <c r="D83" s="643">
        <v>1</v>
      </c>
      <c r="E83" s="644">
        <v>15000</v>
      </c>
      <c r="F83" s="644">
        <f>D83*E83</f>
        <v>15000</v>
      </c>
      <c r="G83" s="645">
        <v>1</v>
      </c>
      <c r="H83" s="645"/>
      <c r="I83" s="645">
        <f>G83+H83</f>
        <v>1</v>
      </c>
      <c r="J83" s="646">
        <f>I83/D83</f>
        <v>1</v>
      </c>
      <c r="K83" s="647">
        <f>E83*D83</f>
        <v>15000</v>
      </c>
      <c r="L83" s="647"/>
      <c r="M83" s="647">
        <f>K83+L83</f>
        <v>15000</v>
      </c>
    </row>
    <row r="84" spans="1:13" ht="15.75" customHeight="1">
      <c r="A84" s="641">
        <v>1.02</v>
      </c>
      <c r="B84" s="648" t="s">
        <v>531</v>
      </c>
      <c r="C84" s="598" t="s">
        <v>32</v>
      </c>
      <c r="D84" s="643">
        <v>1</v>
      </c>
      <c r="E84" s="644">
        <v>125000</v>
      </c>
      <c r="F84" s="644">
        <f t="shared" ref="F84:F96" si="10">D84*E84</f>
        <v>125000</v>
      </c>
      <c r="G84" s="645">
        <v>1</v>
      </c>
      <c r="H84" s="645"/>
      <c r="I84" s="645">
        <f t="shared" ref="I84" si="11">G84+H84</f>
        <v>1</v>
      </c>
      <c r="J84" s="646">
        <f t="shared" ref="J84:J89" si="12">I84/D84</f>
        <v>1</v>
      </c>
      <c r="K84" s="647">
        <f>E84*D84</f>
        <v>125000</v>
      </c>
      <c r="L84" s="647"/>
      <c r="M84" s="647">
        <f>K84+L84</f>
        <v>125000</v>
      </c>
    </row>
    <row r="85" spans="1:13" ht="24">
      <c r="A85" s="641">
        <v>1.03</v>
      </c>
      <c r="B85" s="72" t="s">
        <v>532</v>
      </c>
      <c r="C85" s="649" t="s">
        <v>30</v>
      </c>
      <c r="D85" s="643">
        <v>280</v>
      </c>
      <c r="E85" s="650">
        <v>1750</v>
      </c>
      <c r="F85" s="644">
        <f t="shared" si="10"/>
        <v>490000</v>
      </c>
      <c r="G85" s="645">
        <v>1</v>
      </c>
      <c r="H85" s="645"/>
      <c r="I85" s="645">
        <v>280</v>
      </c>
      <c r="J85" s="646">
        <f t="shared" si="12"/>
        <v>1</v>
      </c>
      <c r="K85" s="647">
        <f t="shared" ref="K85:K96" si="13">E85*D85</f>
        <v>490000</v>
      </c>
      <c r="L85" s="647"/>
      <c r="M85" s="647">
        <f t="shared" ref="M85:M89" si="14">K85+L85</f>
        <v>490000</v>
      </c>
    </row>
    <row r="86" spans="1:13" ht="24">
      <c r="A86" s="641">
        <v>1.04</v>
      </c>
      <c r="B86" s="72" t="s">
        <v>533</v>
      </c>
      <c r="C86" s="649" t="s">
        <v>45</v>
      </c>
      <c r="D86" s="643">
        <v>16</v>
      </c>
      <c r="E86" s="650">
        <v>15000</v>
      </c>
      <c r="F86" s="644">
        <f t="shared" si="10"/>
        <v>240000</v>
      </c>
      <c r="G86" s="645">
        <v>280</v>
      </c>
      <c r="H86" s="645"/>
      <c r="I86" s="645">
        <v>16</v>
      </c>
      <c r="J86" s="646">
        <f t="shared" si="12"/>
        <v>1</v>
      </c>
      <c r="K86" s="647">
        <f t="shared" si="13"/>
        <v>240000</v>
      </c>
      <c r="L86" s="651"/>
      <c r="M86" s="647">
        <f>K86+L86</f>
        <v>240000</v>
      </c>
    </row>
    <row r="87" spans="1:13" ht="24.75">
      <c r="A87" s="641">
        <v>1.05</v>
      </c>
      <c r="B87" s="66" t="s">
        <v>534</v>
      </c>
      <c r="C87" s="649" t="s">
        <v>45</v>
      </c>
      <c r="D87" s="643">
        <v>10</v>
      </c>
      <c r="E87" s="652">
        <v>30000</v>
      </c>
      <c r="F87" s="644">
        <f t="shared" si="10"/>
        <v>300000</v>
      </c>
      <c r="G87" s="645">
        <v>16</v>
      </c>
      <c r="H87" s="645"/>
      <c r="I87" s="645">
        <v>10</v>
      </c>
      <c r="J87" s="646">
        <f t="shared" si="12"/>
        <v>1</v>
      </c>
      <c r="K87" s="647">
        <f t="shared" si="13"/>
        <v>300000</v>
      </c>
      <c r="L87" s="651"/>
      <c r="M87" s="647">
        <f t="shared" si="14"/>
        <v>300000</v>
      </c>
    </row>
    <row r="88" spans="1:13" ht="24.75">
      <c r="A88" s="641">
        <v>1.06</v>
      </c>
      <c r="B88" s="523" t="s">
        <v>535</v>
      </c>
      <c r="C88" s="649" t="s">
        <v>45</v>
      </c>
      <c r="D88" s="643">
        <v>1</v>
      </c>
      <c r="E88" s="652">
        <v>90000</v>
      </c>
      <c r="F88" s="644">
        <f t="shared" si="10"/>
        <v>90000</v>
      </c>
      <c r="G88" s="645">
        <v>1</v>
      </c>
      <c r="H88" s="645"/>
      <c r="I88" s="645">
        <v>1</v>
      </c>
      <c r="J88" s="646">
        <f t="shared" si="12"/>
        <v>1</v>
      </c>
      <c r="K88" s="647">
        <f t="shared" si="13"/>
        <v>90000</v>
      </c>
      <c r="L88" s="651"/>
      <c r="M88" s="647">
        <f t="shared" si="14"/>
        <v>90000</v>
      </c>
    </row>
    <row r="89" spans="1:13" ht="24.75">
      <c r="A89" s="641">
        <v>1.07</v>
      </c>
      <c r="B89" s="66" t="s">
        <v>536</v>
      </c>
      <c r="C89" s="649" t="s">
        <v>45</v>
      </c>
      <c r="D89" s="643">
        <v>1</v>
      </c>
      <c r="E89" s="652">
        <v>90000</v>
      </c>
      <c r="F89" s="644">
        <f t="shared" si="10"/>
        <v>90000</v>
      </c>
      <c r="G89" s="645">
        <v>1</v>
      </c>
      <c r="H89" s="645"/>
      <c r="I89" s="645">
        <f>G89+H89</f>
        <v>1</v>
      </c>
      <c r="J89" s="646">
        <f t="shared" si="12"/>
        <v>1</v>
      </c>
      <c r="K89" s="647">
        <f t="shared" si="13"/>
        <v>90000</v>
      </c>
      <c r="L89" s="651"/>
      <c r="M89" s="647">
        <f t="shared" si="14"/>
        <v>90000</v>
      </c>
    </row>
    <row r="90" spans="1:13">
      <c r="A90" s="641">
        <v>1.08</v>
      </c>
      <c r="B90" s="523" t="s">
        <v>537</v>
      </c>
      <c r="C90" s="649" t="s">
        <v>45</v>
      </c>
      <c r="D90" s="643">
        <v>1</v>
      </c>
      <c r="E90" s="652">
        <v>10000</v>
      </c>
      <c r="F90" s="644">
        <f t="shared" si="10"/>
        <v>10000</v>
      </c>
      <c r="G90" s="645">
        <v>1</v>
      </c>
      <c r="H90" s="645"/>
      <c r="I90" s="645">
        <f>G90+H90</f>
        <v>1</v>
      </c>
      <c r="J90" s="646"/>
      <c r="K90" s="647">
        <f t="shared" si="13"/>
        <v>10000</v>
      </c>
      <c r="L90" s="651"/>
      <c r="M90" s="647"/>
    </row>
    <row r="91" spans="1:13">
      <c r="A91" s="611">
        <v>1.0900000000000001</v>
      </c>
      <c r="B91" s="523" t="s">
        <v>538</v>
      </c>
      <c r="C91" s="649" t="s">
        <v>45</v>
      </c>
      <c r="D91" s="643">
        <v>1</v>
      </c>
      <c r="E91" s="652">
        <v>6000</v>
      </c>
      <c r="F91" s="644">
        <f t="shared" si="10"/>
        <v>6000</v>
      </c>
      <c r="G91" s="645">
        <v>1</v>
      </c>
      <c r="H91" s="645"/>
      <c r="I91" s="645">
        <f t="shared" ref="I91:I110" si="15">G91+H91</f>
        <v>1</v>
      </c>
      <c r="J91" s="646">
        <f t="shared" ref="J91:J110" si="16">I91/D91</f>
        <v>1</v>
      </c>
      <c r="K91" s="647">
        <f t="shared" si="13"/>
        <v>6000</v>
      </c>
      <c r="L91" s="651"/>
      <c r="M91" s="647">
        <f t="shared" ref="M91" si="17">K91+L91</f>
        <v>6000</v>
      </c>
    </row>
    <row r="92" spans="1:13" ht="15" customHeight="1">
      <c r="A92" s="611">
        <v>1.1000000000000001</v>
      </c>
      <c r="B92" s="523" t="s">
        <v>539</v>
      </c>
      <c r="C92" s="649" t="s">
        <v>45</v>
      </c>
      <c r="D92" s="643">
        <v>1</v>
      </c>
      <c r="E92" s="652">
        <v>15000</v>
      </c>
      <c r="F92" s="644">
        <f t="shared" si="10"/>
        <v>15000</v>
      </c>
      <c r="G92" s="645">
        <v>1</v>
      </c>
      <c r="H92" s="645"/>
      <c r="I92" s="645">
        <f t="shared" si="15"/>
        <v>1</v>
      </c>
      <c r="J92" s="646">
        <f t="shared" si="16"/>
        <v>1</v>
      </c>
      <c r="K92" s="647">
        <f t="shared" si="13"/>
        <v>15000</v>
      </c>
      <c r="L92" s="651"/>
      <c r="M92" s="647">
        <f>SUM(M89:M91)</f>
        <v>96000</v>
      </c>
    </row>
    <row r="93" spans="1:13" ht="24.75">
      <c r="A93" s="611">
        <v>1.1100000000000001</v>
      </c>
      <c r="B93" s="523" t="s">
        <v>540</v>
      </c>
      <c r="C93" s="649" t="s">
        <v>45</v>
      </c>
      <c r="D93" s="643">
        <v>1</v>
      </c>
      <c r="E93" s="652">
        <v>90000</v>
      </c>
      <c r="F93" s="644">
        <f t="shared" si="10"/>
        <v>90000</v>
      </c>
      <c r="G93" s="645">
        <v>1</v>
      </c>
      <c r="H93" s="645"/>
      <c r="I93" s="645">
        <f t="shared" si="15"/>
        <v>1</v>
      </c>
      <c r="J93" s="646">
        <f t="shared" si="16"/>
        <v>1</v>
      </c>
      <c r="K93" s="647">
        <f t="shared" si="13"/>
        <v>90000</v>
      </c>
      <c r="L93" s="651"/>
      <c r="M93" s="647">
        <f t="shared" ref="M93:M94" si="18">SUM(M90:M92)</f>
        <v>102000</v>
      </c>
    </row>
    <row r="94" spans="1:13" ht="24.75">
      <c r="A94" s="611">
        <v>1.1200000000000001</v>
      </c>
      <c r="B94" s="523" t="s">
        <v>541</v>
      </c>
      <c r="C94" s="649" t="s">
        <v>45</v>
      </c>
      <c r="D94" s="643">
        <v>1</v>
      </c>
      <c r="E94" s="652">
        <v>30000</v>
      </c>
      <c r="F94" s="644">
        <f t="shared" si="10"/>
        <v>30000</v>
      </c>
      <c r="G94" s="645">
        <v>1</v>
      </c>
      <c r="H94" s="645"/>
      <c r="I94" s="645">
        <f t="shared" si="15"/>
        <v>1</v>
      </c>
      <c r="J94" s="646">
        <f t="shared" si="16"/>
        <v>1</v>
      </c>
      <c r="K94" s="647">
        <f t="shared" si="13"/>
        <v>30000</v>
      </c>
      <c r="L94" s="651"/>
      <c r="M94" s="647">
        <f t="shared" si="18"/>
        <v>204000</v>
      </c>
    </row>
    <row r="95" spans="1:13" ht="27.75" customHeight="1">
      <c r="A95" s="611">
        <v>1.1299999999999999</v>
      </c>
      <c r="B95" s="523" t="s">
        <v>542</v>
      </c>
      <c r="C95" s="649" t="s">
        <v>45</v>
      </c>
      <c r="D95" s="643">
        <v>1</v>
      </c>
      <c r="E95" s="652">
        <v>45000</v>
      </c>
      <c r="F95" s="644">
        <f t="shared" si="10"/>
        <v>45000</v>
      </c>
      <c r="G95" s="645">
        <v>1</v>
      </c>
      <c r="H95" s="645"/>
      <c r="I95" s="645">
        <f t="shared" si="15"/>
        <v>1</v>
      </c>
      <c r="J95" s="646">
        <f t="shared" si="16"/>
        <v>1</v>
      </c>
      <c r="K95" s="647">
        <f t="shared" si="13"/>
        <v>45000</v>
      </c>
      <c r="L95" s="651"/>
      <c r="M95" s="647">
        <f t="shared" ref="M95:M113" si="19">K95+L95</f>
        <v>45000</v>
      </c>
    </row>
    <row r="96" spans="1:13" ht="24.75">
      <c r="A96" s="611">
        <v>1.1399999999999999</v>
      </c>
      <c r="B96" s="523" t="s">
        <v>543</v>
      </c>
      <c r="C96" s="649" t="s">
        <v>45</v>
      </c>
      <c r="D96" s="643">
        <v>1</v>
      </c>
      <c r="E96" s="652">
        <v>20000</v>
      </c>
      <c r="F96" s="644">
        <f t="shared" si="10"/>
        <v>20000</v>
      </c>
      <c r="G96" s="645">
        <v>1</v>
      </c>
      <c r="H96" s="645"/>
      <c r="I96" s="645">
        <f t="shared" si="15"/>
        <v>1</v>
      </c>
      <c r="J96" s="646">
        <f t="shared" si="16"/>
        <v>1</v>
      </c>
      <c r="K96" s="647">
        <f t="shared" si="13"/>
        <v>20000</v>
      </c>
      <c r="L96" s="651"/>
      <c r="M96" s="647">
        <f t="shared" si="19"/>
        <v>20000</v>
      </c>
    </row>
    <row r="97" spans="1:13">
      <c r="A97" s="611">
        <v>1.1499999999999999</v>
      </c>
      <c r="B97" s="382" t="s">
        <v>469</v>
      </c>
      <c r="C97" s="649"/>
      <c r="D97" s="643"/>
      <c r="E97" s="653"/>
      <c r="F97" s="654">
        <f>SUM(F83:F96)</f>
        <v>1566000</v>
      </c>
      <c r="G97" s="655"/>
      <c r="H97" s="645"/>
      <c r="I97" s="645"/>
      <c r="J97" s="646"/>
      <c r="K97" s="656">
        <f>SUM(K83:K96)</f>
        <v>1566000</v>
      </c>
      <c r="L97" s="656"/>
      <c r="M97" s="656">
        <f>K97+L97</f>
        <v>1566000</v>
      </c>
    </row>
    <row r="98" spans="1:13">
      <c r="A98" s="657">
        <v>2</v>
      </c>
      <c r="B98" s="452" t="s">
        <v>544</v>
      </c>
      <c r="C98" s="649"/>
      <c r="D98" s="643"/>
      <c r="E98" s="652"/>
      <c r="F98" s="644"/>
      <c r="G98" s="645"/>
      <c r="H98" s="645"/>
      <c r="I98" s="645"/>
      <c r="J98" s="646"/>
      <c r="K98" s="647"/>
      <c r="L98" s="651"/>
      <c r="M98" s="647"/>
    </row>
    <row r="99" spans="1:13">
      <c r="A99" s="611">
        <v>2.0099999999999998</v>
      </c>
      <c r="B99" s="523" t="s">
        <v>263</v>
      </c>
      <c r="C99" s="649" t="s">
        <v>32</v>
      </c>
      <c r="D99" s="643">
        <v>1</v>
      </c>
      <c r="E99" s="652">
        <v>60000</v>
      </c>
      <c r="F99" s="644">
        <f t="shared" ref="F99:F110" si="20">D99*E99</f>
        <v>60000</v>
      </c>
      <c r="G99" s="645">
        <v>1</v>
      </c>
      <c r="H99" s="645"/>
      <c r="I99" s="645">
        <f t="shared" si="15"/>
        <v>1</v>
      </c>
      <c r="J99" s="646">
        <f t="shared" si="16"/>
        <v>1</v>
      </c>
      <c r="K99" s="647">
        <v>60000</v>
      </c>
      <c r="L99" s="651"/>
      <c r="M99" s="647">
        <f t="shared" ref="M99:M111" si="21">K99+L99</f>
        <v>60000</v>
      </c>
    </row>
    <row r="100" spans="1:13">
      <c r="A100" s="611">
        <v>2.02</v>
      </c>
      <c r="B100" s="523" t="s">
        <v>545</v>
      </c>
      <c r="C100" s="649" t="s">
        <v>509</v>
      </c>
      <c r="D100" s="643">
        <v>660</v>
      </c>
      <c r="E100" s="652">
        <v>1300</v>
      </c>
      <c r="F100" s="644">
        <f t="shared" si="20"/>
        <v>858000</v>
      </c>
      <c r="G100" s="645">
        <v>660</v>
      </c>
      <c r="H100" s="645"/>
      <c r="I100" s="645">
        <f t="shared" si="15"/>
        <v>660</v>
      </c>
      <c r="J100" s="646">
        <f t="shared" si="16"/>
        <v>1</v>
      </c>
      <c r="K100" s="647">
        <v>858000</v>
      </c>
      <c r="L100" s="651"/>
      <c r="M100" s="647">
        <f t="shared" si="21"/>
        <v>858000</v>
      </c>
    </row>
    <row r="101" spans="1:13">
      <c r="A101" s="611">
        <v>2.0299999999999998</v>
      </c>
      <c r="B101" s="523" t="s">
        <v>546</v>
      </c>
      <c r="C101" s="649" t="s">
        <v>547</v>
      </c>
      <c r="D101" s="643">
        <v>660</v>
      </c>
      <c r="E101" s="652">
        <v>153</v>
      </c>
      <c r="F101" s="644">
        <f t="shared" si="20"/>
        <v>100980</v>
      </c>
      <c r="G101" s="645">
        <v>660</v>
      </c>
      <c r="H101" s="645"/>
      <c r="I101" s="645">
        <f t="shared" si="15"/>
        <v>660</v>
      </c>
      <c r="J101" s="646">
        <f t="shared" si="16"/>
        <v>1</v>
      </c>
      <c r="K101" s="647">
        <v>100980</v>
      </c>
      <c r="L101" s="651"/>
      <c r="M101" s="647">
        <f t="shared" si="21"/>
        <v>100980</v>
      </c>
    </row>
    <row r="102" spans="1:13">
      <c r="A102" s="611">
        <v>2.04</v>
      </c>
      <c r="B102" s="523" t="s">
        <v>548</v>
      </c>
      <c r="C102" s="649" t="s">
        <v>509</v>
      </c>
      <c r="D102" s="643">
        <v>660</v>
      </c>
      <c r="E102" s="652">
        <v>210</v>
      </c>
      <c r="F102" s="644">
        <f t="shared" si="20"/>
        <v>138600</v>
      </c>
      <c r="G102" s="645">
        <v>660</v>
      </c>
      <c r="H102" s="645"/>
      <c r="I102" s="645">
        <f t="shared" si="15"/>
        <v>660</v>
      </c>
      <c r="J102" s="646">
        <f t="shared" si="16"/>
        <v>1</v>
      </c>
      <c r="K102" s="647">
        <v>138600</v>
      </c>
      <c r="L102" s="651"/>
      <c r="M102" s="647">
        <f t="shared" si="21"/>
        <v>138600</v>
      </c>
    </row>
    <row r="103" spans="1:13">
      <c r="A103" s="611">
        <v>2.0499999999999998</v>
      </c>
      <c r="B103" s="523" t="s">
        <v>549</v>
      </c>
      <c r="C103" s="649" t="s">
        <v>509</v>
      </c>
      <c r="D103" s="643">
        <v>660</v>
      </c>
      <c r="E103" s="652">
        <v>590</v>
      </c>
      <c r="F103" s="644">
        <f t="shared" si="20"/>
        <v>389400</v>
      </c>
      <c r="G103" s="645">
        <v>660</v>
      </c>
      <c r="H103" s="645"/>
      <c r="I103" s="645">
        <f t="shared" si="15"/>
        <v>660</v>
      </c>
      <c r="J103" s="646">
        <f t="shared" si="16"/>
        <v>1</v>
      </c>
      <c r="K103" s="647">
        <v>389400</v>
      </c>
      <c r="L103" s="651"/>
      <c r="M103" s="647">
        <f t="shared" si="21"/>
        <v>389400</v>
      </c>
    </row>
    <row r="104" spans="1:13" ht="24.75">
      <c r="A104" s="611">
        <v>2.06</v>
      </c>
      <c r="B104" s="523" t="s">
        <v>550</v>
      </c>
      <c r="C104" s="649" t="s">
        <v>78</v>
      </c>
      <c r="D104" s="643">
        <v>1</v>
      </c>
      <c r="E104" s="652">
        <v>10000</v>
      </c>
      <c r="F104" s="644">
        <f t="shared" si="20"/>
        <v>10000</v>
      </c>
      <c r="G104" s="645">
        <v>1</v>
      </c>
      <c r="H104" s="645"/>
      <c r="I104" s="645">
        <f t="shared" si="15"/>
        <v>1</v>
      </c>
      <c r="J104" s="646">
        <f t="shared" si="16"/>
        <v>1</v>
      </c>
      <c r="K104" s="647">
        <v>10000</v>
      </c>
      <c r="L104" s="651"/>
      <c r="M104" s="647">
        <f t="shared" si="21"/>
        <v>10000</v>
      </c>
    </row>
    <row r="105" spans="1:13" ht="24.75">
      <c r="A105" s="611">
        <v>2.0699999999999998</v>
      </c>
      <c r="B105" s="523" t="s">
        <v>516</v>
      </c>
      <c r="C105" s="649" t="s">
        <v>78</v>
      </c>
      <c r="D105" s="643">
        <v>1</v>
      </c>
      <c r="E105" s="652">
        <v>15000</v>
      </c>
      <c r="F105" s="644">
        <f t="shared" si="20"/>
        <v>15000</v>
      </c>
      <c r="G105" s="645">
        <v>1</v>
      </c>
      <c r="H105" s="645"/>
      <c r="I105" s="645">
        <f t="shared" si="15"/>
        <v>1</v>
      </c>
      <c r="J105" s="646">
        <f t="shared" si="16"/>
        <v>1</v>
      </c>
      <c r="K105" s="647">
        <v>15000</v>
      </c>
      <c r="L105" s="651"/>
      <c r="M105" s="647">
        <f t="shared" si="21"/>
        <v>15000</v>
      </c>
    </row>
    <row r="106" spans="1:13" ht="24.75">
      <c r="A106" s="611">
        <v>2.08</v>
      </c>
      <c r="B106" s="523" t="s">
        <v>551</v>
      </c>
      <c r="C106" s="649" t="s">
        <v>78</v>
      </c>
      <c r="D106" s="643">
        <v>1</v>
      </c>
      <c r="E106" s="652">
        <v>1500</v>
      </c>
      <c r="F106" s="644">
        <f t="shared" si="20"/>
        <v>1500</v>
      </c>
      <c r="G106" s="645">
        <v>1</v>
      </c>
      <c r="H106" s="645"/>
      <c r="I106" s="645">
        <f t="shared" si="15"/>
        <v>1</v>
      </c>
      <c r="J106" s="646">
        <f t="shared" si="16"/>
        <v>1</v>
      </c>
      <c r="K106" s="647">
        <v>1500</v>
      </c>
      <c r="L106" s="651"/>
      <c r="M106" s="647">
        <f t="shared" si="21"/>
        <v>1500</v>
      </c>
    </row>
    <row r="107" spans="1:13">
      <c r="A107" s="611">
        <v>2.09</v>
      </c>
      <c r="B107" s="376" t="s">
        <v>552</v>
      </c>
      <c r="C107" s="649" t="s">
        <v>78</v>
      </c>
      <c r="D107" s="643">
        <v>3</v>
      </c>
      <c r="E107" s="652">
        <v>15000</v>
      </c>
      <c r="F107" s="644">
        <f t="shared" si="20"/>
        <v>45000</v>
      </c>
      <c r="G107" s="645">
        <v>3</v>
      </c>
      <c r="H107" s="645"/>
      <c r="I107" s="645">
        <f t="shared" si="15"/>
        <v>3</v>
      </c>
      <c r="J107" s="646">
        <f t="shared" si="16"/>
        <v>1</v>
      </c>
      <c r="K107" s="647">
        <v>45000</v>
      </c>
      <c r="L107" s="651"/>
      <c r="M107" s="647">
        <f t="shared" si="21"/>
        <v>45000</v>
      </c>
    </row>
    <row r="108" spans="1:13">
      <c r="A108" s="611">
        <v>2.1</v>
      </c>
      <c r="B108" s="376" t="s">
        <v>553</v>
      </c>
      <c r="C108" s="649" t="s">
        <v>78</v>
      </c>
      <c r="D108" s="643">
        <v>3</v>
      </c>
      <c r="E108" s="652">
        <v>90000</v>
      </c>
      <c r="F108" s="644">
        <f t="shared" si="20"/>
        <v>270000</v>
      </c>
      <c r="G108" s="645">
        <v>3</v>
      </c>
      <c r="H108" s="645"/>
      <c r="I108" s="645">
        <f t="shared" si="15"/>
        <v>3</v>
      </c>
      <c r="J108" s="646">
        <f t="shared" si="16"/>
        <v>1</v>
      </c>
      <c r="K108" s="647">
        <v>270000</v>
      </c>
      <c r="L108" s="651"/>
      <c r="M108" s="647">
        <f t="shared" si="21"/>
        <v>270000</v>
      </c>
    </row>
    <row r="109" spans="1:13">
      <c r="A109" s="611">
        <v>2.11</v>
      </c>
      <c r="B109" s="523" t="s">
        <v>554</v>
      </c>
      <c r="C109" s="649" t="s">
        <v>45</v>
      </c>
      <c r="D109" s="643">
        <v>36</v>
      </c>
      <c r="E109" s="652">
        <v>45000</v>
      </c>
      <c r="F109" s="644">
        <f t="shared" si="20"/>
        <v>1620000</v>
      </c>
      <c r="G109" s="645"/>
      <c r="H109" s="645">
        <f>D109</f>
        <v>36</v>
      </c>
      <c r="I109" s="645">
        <f t="shared" si="15"/>
        <v>36</v>
      </c>
      <c r="J109" s="646">
        <f t="shared" si="16"/>
        <v>1</v>
      </c>
      <c r="K109" s="647"/>
      <c r="L109" s="647">
        <f>F109</f>
        <v>1620000</v>
      </c>
      <c r="M109" s="647">
        <f>K109+L109</f>
        <v>1620000</v>
      </c>
    </row>
    <row r="110" spans="1:13">
      <c r="A110" s="611">
        <v>2.12</v>
      </c>
      <c r="B110" s="523" t="s">
        <v>555</v>
      </c>
      <c r="C110" s="649" t="s">
        <v>45</v>
      </c>
      <c r="D110" s="643">
        <v>20</v>
      </c>
      <c r="E110" s="652">
        <v>30000</v>
      </c>
      <c r="F110" s="644">
        <f t="shared" si="20"/>
        <v>600000</v>
      </c>
      <c r="G110" s="645"/>
      <c r="H110" s="645">
        <f>D110</f>
        <v>20</v>
      </c>
      <c r="I110" s="645">
        <f t="shared" si="15"/>
        <v>20</v>
      </c>
      <c r="J110" s="646">
        <f t="shared" si="16"/>
        <v>1</v>
      </c>
      <c r="K110" s="647"/>
      <c r="L110" s="647">
        <f>F110</f>
        <v>600000</v>
      </c>
      <c r="M110" s="647">
        <f>K110+L110</f>
        <v>600000</v>
      </c>
    </row>
    <row r="111" spans="1:13">
      <c r="A111" s="611"/>
      <c r="B111" s="452" t="s">
        <v>556</v>
      </c>
      <c r="C111" s="658"/>
      <c r="D111" s="659"/>
      <c r="E111" s="660"/>
      <c r="F111" s="654">
        <f>SUM(F99:F110)</f>
        <v>4108480</v>
      </c>
      <c r="G111" s="645"/>
      <c r="H111" s="645"/>
      <c r="I111" s="645"/>
      <c r="J111" s="646"/>
      <c r="K111" s="656">
        <f>SUM(K99:K108)</f>
        <v>1888480</v>
      </c>
      <c r="L111" s="661">
        <f>L109+L110</f>
        <v>2220000</v>
      </c>
      <c r="M111" s="656">
        <f t="shared" si="21"/>
        <v>4108480</v>
      </c>
    </row>
    <row r="112" spans="1:13">
      <c r="A112" s="556"/>
      <c r="B112" s="112" t="s">
        <v>557</v>
      </c>
      <c r="C112" s="232"/>
      <c r="D112" s="232"/>
      <c r="E112" s="232"/>
      <c r="F112" s="321">
        <f>F97+F111</f>
        <v>5674480</v>
      </c>
      <c r="G112" s="232"/>
      <c r="H112" s="232"/>
      <c r="I112" s="232"/>
      <c r="J112" s="232"/>
      <c r="K112" s="405">
        <f>K97+K111</f>
        <v>3454480</v>
      </c>
      <c r="L112" s="405">
        <f>L111</f>
        <v>2220000</v>
      </c>
      <c r="M112" s="662">
        <f>K112+L112</f>
        <v>5674480</v>
      </c>
    </row>
    <row r="113" spans="1:13">
      <c r="A113" s="556"/>
      <c r="B113" s="112" t="s">
        <v>374</v>
      </c>
      <c r="C113" s="232"/>
      <c r="D113" s="232"/>
      <c r="E113" s="232"/>
      <c r="F113" s="321">
        <f>F77</f>
        <v>13418060.841188001</v>
      </c>
      <c r="G113" s="232"/>
      <c r="H113" s="232"/>
      <c r="I113" s="232"/>
      <c r="J113" s="232"/>
      <c r="K113" s="405">
        <f>K73+K13+K68</f>
        <v>425190.67</v>
      </c>
      <c r="L113" s="405"/>
      <c r="M113" s="662">
        <f t="shared" si="19"/>
        <v>425190.67</v>
      </c>
    </row>
    <row r="114" spans="1:13">
      <c r="A114" s="556"/>
      <c r="B114" s="663" t="s">
        <v>558</v>
      </c>
      <c r="C114" s="232"/>
      <c r="D114" s="232"/>
      <c r="E114" s="232"/>
      <c r="F114" s="321">
        <f>F68+F57+F40+F27</f>
        <v>12933670.191188</v>
      </c>
      <c r="G114" s="232"/>
      <c r="H114" s="232"/>
      <c r="I114" s="232"/>
      <c r="J114" s="232"/>
      <c r="K114" s="405"/>
      <c r="L114" s="405"/>
      <c r="M114" s="662"/>
    </row>
    <row r="115" spans="1:13">
      <c r="A115" s="556"/>
      <c r="B115" s="6" t="s">
        <v>559</v>
      </c>
      <c r="C115" s="232"/>
      <c r="D115" s="232"/>
      <c r="E115" s="232"/>
      <c r="F115" s="321">
        <f>F113-F114</f>
        <v>484390.65000000037</v>
      </c>
      <c r="G115" s="232"/>
      <c r="H115" s="232"/>
      <c r="I115" s="232"/>
      <c r="J115" s="232"/>
      <c r="K115" s="405">
        <f>SUM(K112:K113)</f>
        <v>3879670.67</v>
      </c>
      <c r="L115" s="405">
        <f>L112+L113</f>
        <v>2220000</v>
      </c>
      <c r="M115" s="662">
        <f>K115+L115</f>
        <v>6099670.6699999999</v>
      </c>
    </row>
    <row r="116" spans="1:13">
      <c r="A116" s="556"/>
      <c r="B116" s="556"/>
      <c r="C116" s="556"/>
      <c r="D116" s="556"/>
      <c r="E116" s="556"/>
      <c r="F116" s="321"/>
      <c r="G116" s="556"/>
      <c r="H116" s="556"/>
      <c r="I116" s="556"/>
      <c r="J116" s="556"/>
      <c r="K116" s="556"/>
      <c r="L116" s="556"/>
      <c r="M116" s="556"/>
    </row>
    <row r="117" spans="1:13">
      <c r="A117" s="556"/>
      <c r="B117" s="664" t="s">
        <v>560</v>
      </c>
      <c r="C117" s="556"/>
      <c r="D117" s="556"/>
      <c r="E117" s="556"/>
      <c r="F117" s="556"/>
      <c r="G117" s="556"/>
      <c r="H117" s="556"/>
      <c r="I117" s="556"/>
      <c r="J117" s="556"/>
      <c r="K117" s="556"/>
      <c r="L117" s="556"/>
      <c r="M117" s="556"/>
    </row>
    <row r="118" spans="1:13">
      <c r="A118" s="556"/>
      <c r="B118" s="664" t="s">
        <v>561</v>
      </c>
      <c r="C118" s="665"/>
      <c r="D118" s="665"/>
      <c r="E118" s="665"/>
      <c r="F118" s="232"/>
      <c r="G118" s="232"/>
      <c r="H118" s="232"/>
      <c r="I118" s="232"/>
      <c r="J118" s="232"/>
      <c r="K118" s="232"/>
      <c r="L118" s="232"/>
      <c r="M118" s="232"/>
    </row>
    <row r="119" spans="1:13">
      <c r="A119" s="556"/>
      <c r="B119" s="232"/>
      <c r="C119" s="232"/>
      <c r="D119" s="232"/>
      <c r="E119" s="232"/>
      <c r="F119" s="232"/>
      <c r="G119" s="232"/>
      <c r="H119" s="232"/>
      <c r="I119" s="232"/>
      <c r="J119" s="232"/>
      <c r="K119" s="232"/>
      <c r="L119" s="232"/>
      <c r="M119" s="232"/>
    </row>
    <row r="120" spans="1:13">
      <c r="A120" s="666"/>
      <c r="B120" s="667"/>
      <c r="C120" s="667"/>
      <c r="D120" s="667"/>
      <c r="E120" s="667"/>
      <c r="F120" s="667"/>
      <c r="G120" s="667"/>
      <c r="H120" s="667"/>
      <c r="I120" s="667"/>
      <c r="J120" s="667"/>
      <c r="K120" s="667"/>
      <c r="L120" s="667"/>
      <c r="M120" s="667"/>
    </row>
    <row r="121" spans="1:13">
      <c r="A121" s="666"/>
      <c r="B121" s="667"/>
      <c r="C121" s="667"/>
      <c r="D121" s="667"/>
      <c r="E121" s="667"/>
      <c r="F121" s="667"/>
      <c r="G121" s="667"/>
      <c r="H121" s="667"/>
      <c r="I121" s="667"/>
      <c r="J121" s="667"/>
      <c r="K121" s="667"/>
      <c r="L121" s="667"/>
      <c r="M121" s="667"/>
    </row>
    <row r="122" spans="1:13">
      <c r="A122" s="666"/>
      <c r="B122" s="667"/>
      <c r="C122" s="667"/>
      <c r="D122" s="667"/>
      <c r="E122" s="667"/>
      <c r="F122" s="667"/>
      <c r="G122" s="667"/>
      <c r="H122" s="667"/>
      <c r="I122" s="667"/>
      <c r="J122" s="667"/>
      <c r="K122" s="667"/>
      <c r="L122" s="667"/>
      <c r="M122" s="667"/>
    </row>
    <row r="123" spans="1:13">
      <c r="A123" s="666"/>
      <c r="B123" s="667"/>
      <c r="C123" s="667"/>
      <c r="D123" s="667"/>
      <c r="E123" s="667"/>
      <c r="F123" s="667"/>
      <c r="G123" s="667"/>
      <c r="H123" s="667"/>
      <c r="I123" s="667"/>
      <c r="J123" s="667"/>
      <c r="K123" s="667"/>
      <c r="L123" s="667"/>
      <c r="M123" s="667"/>
    </row>
    <row r="124" spans="1:13">
      <c r="A124" s="666"/>
      <c r="B124" s="667"/>
      <c r="C124" s="667"/>
      <c r="D124" s="667"/>
      <c r="E124" s="667"/>
      <c r="F124" s="667"/>
      <c r="G124" s="667"/>
      <c r="H124" s="667"/>
      <c r="I124" s="667"/>
      <c r="J124" s="667"/>
      <c r="K124" s="667"/>
      <c r="L124" s="667"/>
      <c r="M124" s="667"/>
    </row>
    <row r="125" spans="1:13">
      <c r="A125" s="666"/>
      <c r="B125" s="667"/>
      <c r="C125" s="667"/>
      <c r="D125" s="667"/>
      <c r="E125" s="667"/>
      <c r="F125" s="667"/>
      <c r="G125" s="667"/>
      <c r="H125" s="667"/>
      <c r="I125" s="667"/>
      <c r="J125" s="667"/>
      <c r="K125" s="667"/>
      <c r="L125" s="667"/>
      <c r="M125" s="667"/>
    </row>
    <row r="126" spans="1:13">
      <c r="A126" s="666"/>
      <c r="B126" s="667"/>
      <c r="C126" s="667"/>
      <c r="D126" s="667"/>
      <c r="E126" s="667"/>
      <c r="F126" s="667"/>
      <c r="G126" s="667"/>
      <c r="H126" s="667"/>
      <c r="I126" s="667"/>
      <c r="J126" s="667"/>
      <c r="K126" s="667"/>
      <c r="L126" s="667"/>
      <c r="M126" s="667"/>
    </row>
    <row r="127" spans="1:13">
      <c r="A127" s="666"/>
      <c r="B127" s="667"/>
      <c r="C127" s="667"/>
      <c r="D127" s="667"/>
      <c r="E127" s="667"/>
      <c r="F127" s="667"/>
      <c r="G127" s="667"/>
      <c r="H127" s="667"/>
      <c r="I127" s="667"/>
      <c r="J127" s="667"/>
      <c r="K127" s="667"/>
      <c r="L127" s="667"/>
      <c r="M127" s="667"/>
    </row>
    <row r="128" spans="1:13">
      <c r="A128" s="666"/>
      <c r="B128" s="667"/>
      <c r="C128" s="667"/>
      <c r="D128" s="667"/>
      <c r="E128" s="667"/>
      <c r="F128" s="667"/>
      <c r="G128" s="667"/>
      <c r="H128" s="667"/>
      <c r="I128" s="667"/>
      <c r="J128" s="667"/>
      <c r="K128" s="667"/>
      <c r="L128" s="667"/>
      <c r="M128" s="667"/>
    </row>
    <row r="129" spans="1:13">
      <c r="A129" s="666"/>
      <c r="B129" s="667"/>
      <c r="C129" s="667"/>
      <c r="D129" s="667"/>
      <c r="E129" s="667"/>
      <c r="F129" s="667"/>
      <c r="G129" s="667"/>
      <c r="H129" s="667"/>
      <c r="I129" s="667"/>
      <c r="J129" s="667"/>
      <c r="K129" s="667"/>
      <c r="L129" s="667"/>
      <c r="M129" s="667"/>
    </row>
    <row r="130" spans="1:13">
      <c r="A130" s="666"/>
      <c r="B130" s="667"/>
      <c r="C130" s="667"/>
      <c r="D130" s="667"/>
      <c r="E130" s="667"/>
      <c r="F130" s="667"/>
      <c r="G130" s="667"/>
      <c r="H130" s="667"/>
      <c r="I130" s="667"/>
      <c r="J130" s="667"/>
      <c r="K130" s="667"/>
      <c r="L130" s="667"/>
      <c r="M130" s="667"/>
    </row>
    <row r="131" spans="1:13">
      <c r="A131" s="666"/>
      <c r="B131" s="667"/>
      <c r="C131" s="667"/>
      <c r="D131" s="667"/>
      <c r="E131" s="667"/>
      <c r="F131" s="667"/>
      <c r="G131" s="667"/>
      <c r="H131" s="667"/>
      <c r="I131" s="667"/>
      <c r="J131" s="667"/>
      <c r="K131" s="667"/>
      <c r="L131" s="667"/>
      <c r="M131" s="667"/>
    </row>
    <row r="132" spans="1:13">
      <c r="A132" s="666"/>
      <c r="B132" s="667"/>
      <c r="C132" s="667"/>
      <c r="D132" s="667"/>
      <c r="E132" s="667"/>
      <c r="F132" s="667"/>
      <c r="G132" s="667"/>
      <c r="H132" s="667"/>
      <c r="I132" s="667"/>
      <c r="J132" s="667"/>
      <c r="K132" s="667"/>
      <c r="L132" s="667"/>
      <c r="M132" s="667"/>
    </row>
    <row r="133" spans="1:13">
      <c r="A133" s="666"/>
      <c r="B133" s="667"/>
      <c r="C133" s="667"/>
      <c r="D133" s="667"/>
      <c r="E133" s="667"/>
      <c r="F133" s="667"/>
      <c r="G133" s="667"/>
      <c r="H133" s="667"/>
      <c r="I133" s="667"/>
      <c r="J133" s="667"/>
      <c r="K133" s="667"/>
      <c r="L133" s="667"/>
      <c r="M133" s="667"/>
    </row>
    <row r="134" spans="1:13">
      <c r="A134" s="666"/>
      <c r="B134" s="667"/>
      <c r="C134" s="667"/>
      <c r="D134" s="667"/>
      <c r="E134" s="667"/>
      <c r="F134" s="667"/>
      <c r="G134" s="667"/>
      <c r="H134" s="667"/>
      <c r="I134" s="667"/>
      <c r="J134" s="667"/>
      <c r="K134" s="667"/>
      <c r="L134" s="667"/>
      <c r="M134" s="667"/>
    </row>
    <row r="135" spans="1:13">
      <c r="A135" s="666"/>
      <c r="B135" s="667"/>
      <c r="C135" s="667"/>
      <c r="D135" s="667"/>
      <c r="E135" s="667"/>
      <c r="F135" s="667"/>
      <c r="G135" s="667"/>
      <c r="H135" s="667"/>
      <c r="I135" s="667"/>
      <c r="J135" s="667"/>
      <c r="K135" s="667"/>
      <c r="L135" s="667"/>
      <c r="M135" s="667"/>
    </row>
    <row r="136" spans="1:13">
      <c r="A136" s="666"/>
      <c r="B136" s="667"/>
      <c r="C136" s="667"/>
      <c r="D136" s="667"/>
      <c r="E136" s="667"/>
      <c r="F136" s="667"/>
      <c r="G136" s="667"/>
      <c r="H136" s="667"/>
      <c r="I136" s="667"/>
      <c r="J136" s="667"/>
      <c r="K136" s="667"/>
      <c r="L136" s="667"/>
      <c r="M136" s="667"/>
    </row>
    <row r="137" spans="1:13">
      <c r="A137" s="666"/>
      <c r="B137" s="667"/>
      <c r="C137" s="667"/>
      <c r="D137" s="667"/>
      <c r="E137" s="667"/>
      <c r="F137" s="667"/>
      <c r="G137" s="667"/>
      <c r="H137" s="667"/>
      <c r="I137" s="667"/>
      <c r="J137" s="667"/>
      <c r="K137" s="667"/>
      <c r="L137" s="667"/>
      <c r="M137" s="667"/>
    </row>
    <row r="138" spans="1:13">
      <c r="A138" s="666"/>
      <c r="B138" s="667"/>
      <c r="C138" s="667"/>
      <c r="D138" s="667"/>
      <c r="E138" s="667"/>
      <c r="F138" s="667"/>
      <c r="G138" s="667"/>
      <c r="H138" s="667"/>
      <c r="I138" s="667"/>
      <c r="J138" s="667"/>
      <c r="K138" s="667"/>
      <c r="L138" s="667"/>
      <c r="M138" s="667"/>
    </row>
    <row r="139" spans="1:13">
      <c r="A139" s="666"/>
      <c r="B139" s="667"/>
      <c r="C139" s="667"/>
      <c r="D139" s="667"/>
      <c r="E139" s="667"/>
      <c r="F139" s="667"/>
      <c r="G139" s="667"/>
      <c r="H139" s="667"/>
      <c r="I139" s="667"/>
      <c r="J139" s="667"/>
      <c r="K139" s="667"/>
      <c r="L139" s="667"/>
      <c r="M139" s="667"/>
    </row>
    <row r="140" spans="1:13">
      <c r="A140" s="666"/>
      <c r="B140" s="667"/>
      <c r="C140" s="667"/>
      <c r="D140" s="667"/>
      <c r="E140" s="667"/>
      <c r="F140" s="667"/>
      <c r="G140" s="667"/>
      <c r="H140" s="667"/>
      <c r="I140" s="667"/>
      <c r="J140" s="667"/>
      <c r="K140" s="667"/>
      <c r="L140" s="667"/>
      <c r="M140" s="667"/>
    </row>
    <row r="141" spans="1:13">
      <c r="A141" s="666"/>
      <c r="B141" s="667"/>
      <c r="C141" s="667"/>
      <c r="D141" s="667"/>
      <c r="E141" s="667"/>
      <c r="F141" s="667"/>
      <c r="G141" s="667"/>
      <c r="H141" s="667"/>
      <c r="I141" s="667"/>
      <c r="J141" s="667"/>
      <c r="K141" s="667"/>
      <c r="L141" s="667"/>
      <c r="M141" s="667"/>
    </row>
    <row r="142" spans="1:13">
      <c r="A142" s="666"/>
      <c r="B142" s="667"/>
      <c r="C142" s="667"/>
      <c r="D142" s="667"/>
      <c r="E142" s="667"/>
      <c r="F142" s="667"/>
      <c r="G142" s="667"/>
      <c r="H142" s="667"/>
      <c r="I142" s="667"/>
      <c r="J142" s="667"/>
      <c r="K142" s="667"/>
      <c r="L142" s="667"/>
      <c r="M142" s="667"/>
    </row>
    <row r="143" spans="1:13">
      <c r="A143" s="666"/>
      <c r="B143" s="667"/>
      <c r="C143" s="667"/>
      <c r="D143" s="667"/>
      <c r="E143" s="667"/>
      <c r="F143" s="667"/>
      <c r="G143" s="667"/>
      <c r="H143" s="667"/>
      <c r="I143" s="667"/>
      <c r="J143" s="667"/>
      <c r="K143" s="667"/>
      <c r="L143" s="667"/>
      <c r="M143" s="667"/>
    </row>
    <row r="144" spans="1:13">
      <c r="A144" s="666"/>
      <c r="B144" s="556"/>
      <c r="C144" s="556"/>
      <c r="D144" s="556"/>
      <c r="E144" s="6" t="s">
        <v>0</v>
      </c>
      <c r="F144" s="556"/>
      <c r="G144" s="668"/>
      <c r="H144" s="556"/>
      <c r="I144" s="556"/>
      <c r="J144" s="556"/>
      <c r="K144" s="556"/>
      <c r="L144" s="556"/>
      <c r="M144" s="556"/>
    </row>
    <row r="145" spans="1:13">
      <c r="A145" s="666"/>
      <c r="B145" s="556"/>
      <c r="C145" s="2"/>
      <c r="D145" s="2"/>
      <c r="E145" s="2"/>
      <c r="F145" s="2"/>
      <c r="G145" s="2" t="s">
        <v>1</v>
      </c>
      <c r="H145" s="2"/>
      <c r="I145" s="2"/>
      <c r="J145" s="2"/>
      <c r="K145" s="2"/>
      <c r="L145" s="2"/>
      <c r="M145" s="2"/>
    </row>
    <row r="146" spans="1:13">
      <c r="A146" s="666"/>
      <c r="B146" s="2"/>
      <c r="C146" s="2"/>
      <c r="D146" s="2"/>
      <c r="E146" s="2"/>
      <c r="F146" s="556"/>
      <c r="G146" s="2"/>
      <c r="H146" s="2"/>
      <c r="I146" s="2"/>
      <c r="J146" s="2"/>
      <c r="K146" s="2"/>
      <c r="L146" s="2"/>
      <c r="M146" s="3" t="s">
        <v>562</v>
      </c>
    </row>
    <row r="147" spans="1:13">
      <c r="A147" s="666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4"/>
    </row>
    <row r="148" spans="1:13">
      <c r="A148" s="666"/>
      <c r="B148" s="5" t="s">
        <v>3</v>
      </c>
      <c r="C148" s="6" t="s">
        <v>458</v>
      </c>
      <c r="D148" s="6"/>
      <c r="E148" s="6"/>
      <c r="F148" s="556"/>
      <c r="G148" s="6"/>
      <c r="H148" s="7"/>
      <c r="I148" s="4"/>
      <c r="J148" s="4"/>
      <c r="K148" s="4"/>
      <c r="L148" s="5" t="s">
        <v>5</v>
      </c>
      <c r="M148" s="8" t="s">
        <v>459</v>
      </c>
    </row>
    <row r="149" spans="1:13">
      <c r="A149" s="666"/>
      <c r="B149" s="5" t="s">
        <v>7</v>
      </c>
      <c r="C149" s="9">
        <v>3</v>
      </c>
      <c r="D149" s="4"/>
      <c r="E149" s="6"/>
      <c r="F149" s="556"/>
      <c r="G149" s="6"/>
      <c r="H149" s="6"/>
      <c r="I149" s="4"/>
      <c r="J149" s="4"/>
      <c r="K149" s="4"/>
      <c r="L149" s="5" t="s">
        <v>8</v>
      </c>
      <c r="M149" s="8">
        <v>3298159.3539999998</v>
      </c>
    </row>
    <row r="150" spans="1:13">
      <c r="A150" s="666"/>
      <c r="B150" s="5" t="s">
        <v>9</v>
      </c>
      <c r="C150" s="6" t="s">
        <v>460</v>
      </c>
      <c r="D150" s="6"/>
      <c r="E150" s="6"/>
      <c r="F150" s="556"/>
      <c r="G150" s="6"/>
      <c r="H150" s="10"/>
      <c r="I150" s="4"/>
      <c r="J150" s="4"/>
      <c r="K150" s="4"/>
      <c r="L150" s="5" t="s">
        <v>11</v>
      </c>
      <c r="M150" s="11" t="s">
        <v>461</v>
      </c>
    </row>
    <row r="151" spans="1:13">
      <c r="A151" s="666"/>
      <c r="B151" s="5" t="s">
        <v>13</v>
      </c>
      <c r="C151" s="6" t="s">
        <v>462</v>
      </c>
      <c r="D151" s="6"/>
      <c r="E151" s="6"/>
      <c r="F151" s="556"/>
      <c r="G151" s="6"/>
      <c r="H151" s="6"/>
      <c r="I151" s="4"/>
      <c r="J151" s="4"/>
      <c r="K151" s="4"/>
      <c r="L151" s="4"/>
      <c r="M151" s="4"/>
    </row>
    <row r="152" spans="1:13">
      <c r="A152" s="666"/>
      <c r="B152" s="5"/>
      <c r="C152" s="6"/>
      <c r="D152" s="6"/>
      <c r="E152" s="6"/>
      <c r="F152" s="556"/>
      <c r="G152" s="6"/>
      <c r="H152" s="556"/>
      <c r="I152" s="556"/>
      <c r="J152" s="556"/>
      <c r="K152" s="4"/>
      <c r="L152" s="4"/>
      <c r="M152" s="4"/>
    </row>
    <row r="153" spans="1:13">
      <c r="A153" s="4"/>
      <c r="B153" s="5"/>
      <c r="C153" s="6"/>
      <c r="D153" s="6"/>
      <c r="E153" s="1111" t="s">
        <v>21</v>
      </c>
      <c r="F153" s="1111"/>
      <c r="G153" s="1111" t="s">
        <v>24</v>
      </c>
      <c r="H153" s="1111"/>
      <c r="I153" s="1111" t="s">
        <v>25</v>
      </c>
      <c r="J153" s="1111"/>
      <c r="K153" s="1111" t="s">
        <v>26</v>
      </c>
      <c r="L153" s="1111"/>
      <c r="M153" s="6"/>
    </row>
    <row r="154" spans="1:13">
      <c r="A154" s="6" t="s">
        <v>454</v>
      </c>
      <c r="B154" s="6"/>
      <c r="C154" s="6"/>
      <c r="D154" s="6"/>
      <c r="E154" s="1132">
        <f>F115+F112</f>
        <v>6158870.6500000004</v>
      </c>
      <c r="F154" s="1132"/>
      <c r="G154" s="1132">
        <f>K115</f>
        <v>3879670.67</v>
      </c>
      <c r="H154" s="1132"/>
      <c r="I154" s="1189">
        <f>L115</f>
        <v>2220000</v>
      </c>
      <c r="J154" s="1189"/>
      <c r="K154" s="1132">
        <f>G154+I154</f>
        <v>6099670.6699999999</v>
      </c>
      <c r="L154" s="1132"/>
      <c r="M154" s="242"/>
    </row>
    <row r="155" spans="1:13">
      <c r="A155" s="4" t="s">
        <v>563</v>
      </c>
      <c r="B155" s="9" t="s">
        <v>215</v>
      </c>
      <c r="C155" s="6"/>
      <c r="D155" s="6"/>
      <c r="G155" s="6"/>
      <c r="H155" s="6"/>
      <c r="I155" s="4"/>
      <c r="J155" s="4"/>
      <c r="K155" s="556"/>
      <c r="L155" s="4"/>
      <c r="M155" s="556"/>
    </row>
    <row r="156" spans="1:13">
      <c r="A156" s="666"/>
      <c r="B156" s="4"/>
      <c r="C156" s="9"/>
      <c r="D156" s="6"/>
      <c r="E156" s="6"/>
      <c r="F156" s="6"/>
      <c r="G156" s="6"/>
      <c r="H156" s="6"/>
      <c r="I156" s="4"/>
      <c r="J156" s="4"/>
      <c r="K156" s="556"/>
      <c r="L156" s="4"/>
      <c r="M156" s="556"/>
    </row>
    <row r="157" spans="1:13">
      <c r="A157" s="666"/>
      <c r="B157" s="9" t="s">
        <v>133</v>
      </c>
      <c r="C157" s="6"/>
      <c r="D157" s="6"/>
      <c r="E157" s="6"/>
      <c r="G157" s="6"/>
      <c r="H157" s="6"/>
      <c r="I157" s="4"/>
      <c r="J157" s="4"/>
      <c r="K157" s="1189">
        <f>D158*K154</f>
        <v>182990.1201</v>
      </c>
      <c r="L157" s="1189"/>
      <c r="M157" s="669"/>
    </row>
    <row r="158" spans="1:13">
      <c r="A158" s="666"/>
      <c r="B158" s="6" t="s">
        <v>134</v>
      </c>
      <c r="C158" s="94"/>
      <c r="D158" s="94">
        <v>0.03</v>
      </c>
      <c r="E158" s="1189">
        <f>D158*E154</f>
        <v>184766.1195</v>
      </c>
      <c r="F158" s="1189"/>
      <c r="G158" s="1189">
        <f>D158*G154</f>
        <v>116390.1201</v>
      </c>
      <c r="H158" s="1189"/>
      <c r="I158" s="1189">
        <f>D158*I154</f>
        <v>66600</v>
      </c>
      <c r="J158" s="1189"/>
      <c r="K158" s="669"/>
      <c r="M158" s="669"/>
    </row>
    <row r="159" spans="1:13">
      <c r="A159" s="666"/>
      <c r="B159" s="6" t="s">
        <v>135</v>
      </c>
      <c r="C159" s="94"/>
      <c r="D159" s="98">
        <v>0.1</v>
      </c>
      <c r="E159" s="1189">
        <f>D159*E154</f>
        <v>615887.06500000006</v>
      </c>
      <c r="F159" s="1189"/>
      <c r="G159" s="1189">
        <f>D159*G154</f>
        <v>387967.06700000004</v>
      </c>
      <c r="H159" s="1189"/>
      <c r="I159" s="1189">
        <f>D159*I154</f>
        <v>222000</v>
      </c>
      <c r="J159" s="1189"/>
      <c r="K159" s="1189">
        <f>D159*K154</f>
        <v>609967.06700000004</v>
      </c>
      <c r="L159" s="1189"/>
      <c r="M159" s="669"/>
    </row>
    <row r="160" spans="1:13">
      <c r="A160" s="666"/>
      <c r="B160" s="422" t="s">
        <v>136</v>
      </c>
      <c r="C160" s="94"/>
      <c r="D160" s="98">
        <v>0.18</v>
      </c>
      <c r="E160" s="1189">
        <f>D160*E159</f>
        <v>110859.67170000001</v>
      </c>
      <c r="F160" s="1189"/>
      <c r="G160" s="1189">
        <f>D160*G159</f>
        <v>69834.072060000006</v>
      </c>
      <c r="H160" s="1189"/>
      <c r="I160" s="1189">
        <f>D160*I159</f>
        <v>39960</v>
      </c>
      <c r="J160" s="1189"/>
      <c r="K160" s="1189">
        <f>D160*K159</f>
        <v>109794.07206000001</v>
      </c>
      <c r="L160" s="1189"/>
      <c r="M160" s="669"/>
    </row>
    <row r="161" spans="1:13">
      <c r="A161" s="666"/>
      <c r="B161" s="6" t="s">
        <v>137</v>
      </c>
      <c r="C161" s="94"/>
      <c r="D161" s="98">
        <v>0.04</v>
      </c>
      <c r="E161" s="1189">
        <f>D161*E154</f>
        <v>246354.82600000003</v>
      </c>
      <c r="F161" s="1189"/>
      <c r="G161" s="1189">
        <f>D161*G154</f>
        <v>155186.82680000001</v>
      </c>
      <c r="H161" s="1189"/>
      <c r="I161" s="1189">
        <f>D161*I154</f>
        <v>88800</v>
      </c>
      <c r="J161" s="1189"/>
      <c r="K161" s="1189">
        <f>D161*K154</f>
        <v>243986.82680000001</v>
      </c>
      <c r="L161" s="1189"/>
      <c r="M161" s="669"/>
    </row>
    <row r="162" spans="1:13">
      <c r="A162" s="666"/>
      <c r="B162" s="6" t="s">
        <v>138</v>
      </c>
      <c r="C162" s="98"/>
      <c r="D162" s="109">
        <v>0.03</v>
      </c>
      <c r="E162" s="1189">
        <f>D162*E154</f>
        <v>184766.1195</v>
      </c>
      <c r="F162" s="1189"/>
      <c r="G162" s="1189">
        <f>D162*G154</f>
        <v>116390.1201</v>
      </c>
      <c r="H162" s="1189"/>
      <c r="I162" s="1132">
        <f>D162*I154</f>
        <v>66600</v>
      </c>
      <c r="J162" s="1132"/>
      <c r="K162" s="1189">
        <f>D162*K154</f>
        <v>182990.1201</v>
      </c>
      <c r="L162" s="1189"/>
      <c r="M162" s="669"/>
    </row>
    <row r="163" spans="1:13">
      <c r="A163" s="666"/>
      <c r="B163" s="6" t="s">
        <v>139</v>
      </c>
      <c r="C163" s="94"/>
      <c r="D163" s="98">
        <v>0.01</v>
      </c>
      <c r="E163" s="1189">
        <f>D163*E154</f>
        <v>61588.706500000008</v>
      </c>
      <c r="F163" s="1189"/>
      <c r="G163" s="1189">
        <f>D163*G154</f>
        <v>38796.706700000002</v>
      </c>
      <c r="H163" s="1189"/>
      <c r="I163" s="1132">
        <f>D163*I154</f>
        <v>22200</v>
      </c>
      <c r="J163" s="1132"/>
      <c r="K163" s="1189">
        <f>D163*K154</f>
        <v>60996.706700000002</v>
      </c>
      <c r="L163" s="1189"/>
      <c r="M163" s="669"/>
    </row>
    <row r="164" spans="1:13">
      <c r="A164" s="666"/>
      <c r="B164" s="6" t="s">
        <v>140</v>
      </c>
      <c r="C164" s="94"/>
      <c r="D164" s="424">
        <v>1E-3</v>
      </c>
      <c r="E164" s="1191">
        <f>D164*E154</f>
        <v>6158.8706500000008</v>
      </c>
      <c r="F164" s="1191"/>
      <c r="G164" s="1189">
        <f>D164*G154</f>
        <v>3879.67067</v>
      </c>
      <c r="H164" s="1189"/>
      <c r="I164" s="1192">
        <f>D164*I154</f>
        <v>2220</v>
      </c>
      <c r="J164" s="1192"/>
      <c r="K164" s="1191">
        <f>D164*K154</f>
        <v>6099.6706700000004</v>
      </c>
      <c r="L164" s="1191"/>
      <c r="M164" s="670"/>
    </row>
    <row r="165" spans="1:13">
      <c r="A165" s="666"/>
      <c r="B165" s="6" t="s">
        <v>388</v>
      </c>
      <c r="C165" s="98"/>
      <c r="D165" s="98">
        <f>D164+D163+D162+D161+D159+D158+1.8%</f>
        <v>0.22899999999999998</v>
      </c>
      <c r="E165" s="1189">
        <f>E158+E159+E160+E161+E162+E163+E164</f>
        <v>1410381.3788500002</v>
      </c>
      <c r="F165" s="1189"/>
      <c r="G165" s="1190">
        <f>G158+G159+G160+G161+G162+G163+G164</f>
        <v>888444.58343</v>
      </c>
      <c r="H165" s="1190"/>
      <c r="I165" s="1132">
        <f>I158+I159+I160+I161+I162+I163+I164</f>
        <v>508380</v>
      </c>
      <c r="J165" s="1132"/>
      <c r="K165" s="1189">
        <f>K157+K159+K160+K161+K162+K163+K164</f>
        <v>1396824.5834299999</v>
      </c>
      <c r="L165" s="1189"/>
      <c r="M165" s="669"/>
    </row>
    <row r="166" spans="1:13">
      <c r="A166" s="666"/>
      <c r="B166" s="6"/>
      <c r="C166" s="98"/>
      <c r="D166" s="1"/>
      <c r="E166" s="671"/>
      <c r="G166" s="671"/>
      <c r="H166" s="672"/>
      <c r="I166" s="673"/>
      <c r="J166" s="114"/>
      <c r="K166" s="674"/>
      <c r="L166" s="671"/>
      <c r="M166" s="674"/>
    </row>
    <row r="167" spans="1:13">
      <c r="A167" s="666"/>
      <c r="B167" s="9" t="s">
        <v>389</v>
      </c>
      <c r="C167" s="94"/>
      <c r="D167" s="1"/>
      <c r="E167" s="1189">
        <f>E154+E165</f>
        <v>7569252.0288500004</v>
      </c>
      <c r="F167" s="1189"/>
      <c r="G167" s="1190">
        <f>'CUB.3 Catalina'!G165+'CUB.3 Catalina'!G154</f>
        <v>4768115.2534299996</v>
      </c>
      <c r="H167" s="1190"/>
      <c r="I167" s="1132">
        <f>I154+I165</f>
        <v>2728380</v>
      </c>
      <c r="J167" s="1132"/>
      <c r="K167" s="1189">
        <f>K154+K165</f>
        <v>7496495.2534299996</v>
      </c>
      <c r="L167" s="1189"/>
      <c r="M167" s="669"/>
    </row>
    <row r="168" spans="1:13">
      <c r="A168" s="666"/>
      <c r="B168" s="426"/>
      <c r="C168" s="9"/>
      <c r="D168" s="107"/>
      <c r="E168" s="3"/>
      <c r="F168" s="675"/>
      <c r="G168" s="675"/>
      <c r="H168" s="676"/>
      <c r="I168" s="676"/>
      <c r="J168" s="426"/>
      <c r="K168" s="556"/>
      <c r="L168" s="107"/>
      <c r="M168" s="675"/>
    </row>
    <row r="169" spans="1:13">
      <c r="A169" s="666"/>
      <c r="B169" s="4"/>
      <c r="C169" s="108" t="s">
        <v>144</v>
      </c>
      <c r="D169" s="4"/>
      <c r="E169" s="4"/>
      <c r="F169" s="4"/>
      <c r="G169" s="4"/>
      <c r="H169" s="551"/>
      <c r="I169" s="551"/>
      <c r="J169" s="1140"/>
      <c r="K169" s="1140"/>
      <c r="L169" s="1140"/>
      <c r="M169" s="1140"/>
    </row>
    <row r="170" spans="1:13">
      <c r="A170" s="666"/>
      <c r="B170" s="4"/>
      <c r="C170" s="6" t="s">
        <v>161</v>
      </c>
      <c r="D170" s="4"/>
      <c r="E170" s="98"/>
      <c r="F170" s="4"/>
      <c r="G170" s="4"/>
      <c r="H170" s="1132"/>
      <c r="I170" s="1132"/>
      <c r="J170" s="677"/>
      <c r="K170" s="677"/>
      <c r="L170" s="427"/>
      <c r="M170" s="427"/>
    </row>
    <row r="171" spans="1:13">
      <c r="A171" s="666"/>
      <c r="B171" s="4"/>
      <c r="C171" s="9"/>
      <c r="D171" s="4"/>
      <c r="E171" s="94"/>
      <c r="F171" s="4"/>
      <c r="G171" s="4"/>
      <c r="H171" s="1132"/>
      <c r="I171" s="1132"/>
      <c r="J171" s="1157"/>
      <c r="K171" s="1157"/>
      <c r="L171" s="1157"/>
      <c r="M171" s="1157"/>
    </row>
    <row r="172" spans="1:13">
      <c r="A172" s="666"/>
      <c r="B172" s="4"/>
      <c r="C172" s="9" t="s">
        <v>145</v>
      </c>
      <c r="D172" s="3"/>
      <c r="E172" s="109">
        <v>0.2</v>
      </c>
      <c r="F172" s="3"/>
      <c r="G172" s="1132">
        <f>E172*G167</f>
        <v>953623.05068599992</v>
      </c>
      <c r="H172" s="1132"/>
      <c r="I172" s="1132">
        <f>I167*E172</f>
        <v>545676</v>
      </c>
      <c r="J172" s="1132"/>
      <c r="K172" s="1132">
        <f>G172+I172</f>
        <v>1499299.0506859999</v>
      </c>
      <c r="L172" s="1132"/>
      <c r="M172" s="242"/>
    </row>
    <row r="173" spans="1:13">
      <c r="A173" s="666"/>
      <c r="B173" s="4"/>
      <c r="C173" s="9"/>
      <c r="D173" s="3"/>
      <c r="E173" s="3"/>
      <c r="F173" s="3"/>
      <c r="G173" s="678"/>
      <c r="H173" s="678"/>
      <c r="I173" s="679"/>
      <c r="J173" s="679"/>
      <c r="K173" s="680"/>
      <c r="M173" s="680"/>
    </row>
    <row r="174" spans="1:13">
      <c r="A174" s="666"/>
      <c r="B174" s="681"/>
      <c r="C174" s="3"/>
      <c r="D174" s="3"/>
      <c r="E174" s="3"/>
      <c r="F174" s="3"/>
      <c r="G174" s="676"/>
      <c r="H174" s="682"/>
      <c r="I174" s="263"/>
      <c r="J174" s="556"/>
      <c r="K174" s="263"/>
      <c r="M174" s="556"/>
    </row>
    <row r="175" spans="1:13">
      <c r="A175" s="666"/>
      <c r="B175" s="681"/>
      <c r="C175" s="9" t="s">
        <v>564</v>
      </c>
      <c r="D175" s="3"/>
      <c r="E175" s="3"/>
      <c r="F175" s="3"/>
      <c r="G175" s="1188">
        <f>G167-G172</f>
        <v>3814492.2027439997</v>
      </c>
      <c r="H175" s="1188"/>
      <c r="I175" s="1173">
        <f>I167-I172</f>
        <v>2182704</v>
      </c>
      <c r="J175" s="1173"/>
      <c r="K175" s="1130">
        <f>G175+I175</f>
        <v>5997196.2027439997</v>
      </c>
      <c r="L175" s="1130"/>
      <c r="M175" s="321"/>
    </row>
    <row r="176" spans="1:13">
      <c r="A176" s="666"/>
      <c r="B176" s="681"/>
      <c r="C176" s="9"/>
      <c r="D176" s="3"/>
      <c r="E176" s="3"/>
      <c r="F176" s="683"/>
      <c r="G176" s="683"/>
      <c r="H176" s="684"/>
      <c r="I176" s="684"/>
      <c r="L176" s="685"/>
      <c r="M176" s="685"/>
    </row>
    <row r="177" spans="1:13">
      <c r="A177" s="666"/>
      <c r="B177" s="681"/>
      <c r="C177" s="686"/>
      <c r="D177" s="683"/>
      <c r="E177" s="683"/>
      <c r="F177" s="683"/>
      <c r="G177" s="683"/>
      <c r="H177" s="684"/>
      <c r="I177" s="684"/>
      <c r="L177" s="685"/>
      <c r="M177" s="685"/>
    </row>
    <row r="178" spans="1:13">
      <c r="A178" s="666"/>
      <c r="B178" s="681"/>
      <c r="C178" s="686"/>
      <c r="D178" s="683"/>
      <c r="E178" s="683"/>
      <c r="F178" s="683"/>
      <c r="G178" s="683"/>
      <c r="H178" s="684"/>
      <c r="I178" s="684"/>
      <c r="L178" s="685"/>
      <c r="M178" s="685"/>
    </row>
    <row r="179" spans="1:13">
      <c r="A179" s="666"/>
      <c r="B179" s="681"/>
      <c r="C179" s="686"/>
      <c r="D179" s="683"/>
      <c r="E179" s="683"/>
      <c r="F179" s="683"/>
      <c r="G179" s="683"/>
      <c r="H179" s="683"/>
      <c r="I179" s="687"/>
      <c r="J179" s="681"/>
      <c r="K179" s="688"/>
      <c r="L179" s="683"/>
      <c r="M179" s="683"/>
    </row>
    <row r="180" spans="1:13">
      <c r="A180" s="689"/>
      <c r="B180" s="543" t="s">
        <v>147</v>
      </c>
      <c r="D180" s="1187" t="s">
        <v>148</v>
      </c>
      <c r="E180" s="1187"/>
      <c r="F180" s="690"/>
      <c r="G180" s="1129" t="s">
        <v>13</v>
      </c>
      <c r="H180" s="1129"/>
      <c r="I180" s="1129"/>
      <c r="K180" s="1187" t="s">
        <v>149</v>
      </c>
      <c r="L180" s="1187"/>
      <c r="M180" s="543"/>
    </row>
    <row r="181" spans="1:13">
      <c r="A181" s="689"/>
      <c r="B181" s="543"/>
      <c r="C181" s="543"/>
      <c r="D181" s="1186"/>
      <c r="E181" s="1186"/>
      <c r="F181" s="690"/>
      <c r="G181" s="1187"/>
      <c r="H181" s="1187"/>
      <c r="I181" s="1187"/>
      <c r="J181" s="543"/>
      <c r="K181" s="1117"/>
      <c r="L181" s="1117"/>
      <c r="M181" s="543"/>
    </row>
    <row r="182" spans="1:13">
      <c r="A182" s="689"/>
      <c r="B182" s="1" t="s">
        <v>150</v>
      </c>
      <c r="D182" s="6" t="s">
        <v>151</v>
      </c>
      <c r="E182" s="6"/>
      <c r="F182" s="690"/>
      <c r="G182" s="1129" t="s">
        <v>462</v>
      </c>
      <c r="H182" s="1129"/>
      <c r="I182" s="1129"/>
      <c r="K182" s="1128" t="s">
        <v>395</v>
      </c>
      <c r="L182" s="1128"/>
      <c r="M182" s="692"/>
    </row>
    <row r="183" spans="1:13" ht="14.45" customHeight="1">
      <c r="B183" s="1" t="s">
        <v>154</v>
      </c>
      <c r="C183" s="1187" t="s">
        <v>155</v>
      </c>
      <c r="D183" s="1187"/>
      <c r="E183" s="1187"/>
      <c r="F183" s="1187"/>
      <c r="G183" s="1112"/>
      <c r="H183" s="1112"/>
      <c r="I183" s="1112"/>
      <c r="K183" s="1123" t="s">
        <v>219</v>
      </c>
      <c r="L183" s="1123"/>
      <c r="M183" s="543"/>
    </row>
  </sheetData>
  <mergeCells count="75">
    <mergeCell ref="A1:M1"/>
    <mergeCell ref="A2:M2"/>
    <mergeCell ref="C3:I3"/>
    <mergeCell ref="A7:F7"/>
    <mergeCell ref="G7:J7"/>
    <mergeCell ref="K7:M7"/>
    <mergeCell ref="K80:M80"/>
    <mergeCell ref="E153:F153"/>
    <mergeCell ref="G153:H153"/>
    <mergeCell ref="I153:J153"/>
    <mergeCell ref="K153:L153"/>
    <mergeCell ref="E158:F158"/>
    <mergeCell ref="G158:H158"/>
    <mergeCell ref="I158:J158"/>
    <mergeCell ref="A80:F80"/>
    <mergeCell ref="G80:J80"/>
    <mergeCell ref="E154:F154"/>
    <mergeCell ref="G154:H154"/>
    <mergeCell ref="I154:J154"/>
    <mergeCell ref="K154:L154"/>
    <mergeCell ref="K157:L157"/>
    <mergeCell ref="E159:F159"/>
    <mergeCell ref="G159:H159"/>
    <mergeCell ref="I159:J159"/>
    <mergeCell ref="K159:L159"/>
    <mergeCell ref="E160:F160"/>
    <mergeCell ref="G160:H160"/>
    <mergeCell ref="I160:J160"/>
    <mergeCell ref="K160:L160"/>
    <mergeCell ref="E161:F161"/>
    <mergeCell ref="G161:H161"/>
    <mergeCell ref="I161:J161"/>
    <mergeCell ref="K161:L161"/>
    <mergeCell ref="E162:F162"/>
    <mergeCell ref="G162:H162"/>
    <mergeCell ref="I162:J162"/>
    <mergeCell ref="K162:L162"/>
    <mergeCell ref="E163:F163"/>
    <mergeCell ref="G163:H163"/>
    <mergeCell ref="I163:J163"/>
    <mergeCell ref="K163:L163"/>
    <mergeCell ref="E164:F164"/>
    <mergeCell ref="G164:H164"/>
    <mergeCell ref="I164:J164"/>
    <mergeCell ref="K164:L164"/>
    <mergeCell ref="G172:H172"/>
    <mergeCell ref="I172:J172"/>
    <mergeCell ref="K172:L172"/>
    <mergeCell ref="E165:F165"/>
    <mergeCell ref="G165:H165"/>
    <mergeCell ref="I165:J165"/>
    <mergeCell ref="K165:L165"/>
    <mergeCell ref="E167:F167"/>
    <mergeCell ref="G167:H167"/>
    <mergeCell ref="I167:J167"/>
    <mergeCell ref="K167:L167"/>
    <mergeCell ref="J169:M169"/>
    <mergeCell ref="H170:I170"/>
    <mergeCell ref="H171:I171"/>
    <mergeCell ref="J171:K171"/>
    <mergeCell ref="L171:M171"/>
    <mergeCell ref="C183:F183"/>
    <mergeCell ref="G183:I183"/>
    <mergeCell ref="K183:L183"/>
    <mergeCell ref="G175:H175"/>
    <mergeCell ref="I175:J175"/>
    <mergeCell ref="K175:L175"/>
    <mergeCell ref="D180:E180"/>
    <mergeCell ref="G180:I180"/>
    <mergeCell ref="K180:L180"/>
    <mergeCell ref="D181:E181"/>
    <mergeCell ref="G181:I181"/>
    <mergeCell ref="K181:L181"/>
    <mergeCell ref="G182:I182"/>
    <mergeCell ref="K182:L182"/>
  </mergeCells>
  <pageMargins left="0.70866141732283472" right="0.70866141732283472" top="0.74803149606299213" bottom="0.74803149606299213" header="0.31496062992125984" footer="0.31496062992125984"/>
  <pageSetup paperSize="5" scale="80" orientation="landscape" horizontalDpi="0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1E8AAA-4B24-46C2-9A47-CFDE9EBB6AF7}">
  <dimension ref="A2:N230"/>
  <sheetViews>
    <sheetView topLeftCell="B175" zoomScaleNormal="100" workbookViewId="0">
      <selection activeCell="L204" sqref="L204:M204"/>
    </sheetView>
  </sheetViews>
  <sheetFormatPr baseColWidth="10" defaultRowHeight="15"/>
  <cols>
    <col min="1" max="1" width="9.5703125" customWidth="1"/>
    <col min="2" max="2" width="33.85546875" bestFit="1" customWidth="1"/>
    <col min="3" max="3" width="15" customWidth="1"/>
    <col min="4" max="4" width="13.7109375" customWidth="1"/>
    <col min="5" max="5" width="13.85546875" bestFit="1" customWidth="1"/>
    <col min="6" max="6" width="17.5703125" customWidth="1"/>
    <col min="8" max="8" width="13.7109375" customWidth="1"/>
    <col min="11" max="11" width="15.140625" customWidth="1"/>
    <col min="12" max="12" width="15" customWidth="1"/>
    <col min="13" max="13" width="16.28515625" customWidth="1"/>
  </cols>
  <sheetData>
    <row r="2" spans="1:13">
      <c r="A2" s="1111" t="s">
        <v>0</v>
      </c>
      <c r="B2" s="1111"/>
      <c r="C2" s="1111"/>
      <c r="D2" s="1111"/>
      <c r="E2" s="1111"/>
      <c r="F2" s="1111"/>
      <c r="G2" s="1111"/>
      <c r="H2" s="1111"/>
      <c r="I2" s="1111"/>
      <c r="J2" s="1111"/>
      <c r="K2" s="1111"/>
      <c r="L2" s="1111"/>
      <c r="M2" s="1111"/>
    </row>
    <row r="3" spans="1:13">
      <c r="A3" s="1121" t="s">
        <v>1</v>
      </c>
      <c r="B3" s="1121"/>
      <c r="C3" s="1121"/>
      <c r="D3" s="1121"/>
      <c r="E3" s="1121"/>
      <c r="F3" s="1121"/>
      <c r="G3" s="1121"/>
      <c r="H3" s="1121"/>
      <c r="I3" s="1121"/>
      <c r="J3" s="1121"/>
      <c r="K3" s="1121"/>
      <c r="L3" s="1121"/>
      <c r="M3" s="1121"/>
    </row>
    <row r="4" spans="1:13">
      <c r="A4" s="2"/>
      <c r="B4" s="2"/>
      <c r="C4" s="2"/>
      <c r="D4" s="693"/>
      <c r="E4" s="694"/>
      <c r="F4" s="694"/>
      <c r="G4" s="2"/>
      <c r="H4" s="2"/>
      <c r="I4" s="2"/>
      <c r="J4" s="2"/>
      <c r="K4" s="2"/>
      <c r="L4" s="2"/>
      <c r="M4" s="3" t="s">
        <v>221</v>
      </c>
    </row>
    <row r="5" spans="1:13">
      <c r="A5" s="1"/>
      <c r="B5" s="1"/>
      <c r="C5" s="1"/>
      <c r="D5" s="695"/>
      <c r="E5" s="246"/>
      <c r="F5" s="246"/>
      <c r="G5" s="1"/>
      <c r="H5" s="1"/>
      <c r="I5" s="1"/>
      <c r="J5" s="1"/>
      <c r="K5" s="1"/>
      <c r="L5" s="1"/>
      <c r="M5" s="4"/>
    </row>
    <row r="6" spans="1:13">
      <c r="A6" s="4"/>
      <c r="B6" s="5" t="s">
        <v>3</v>
      </c>
      <c r="C6" s="6" t="s">
        <v>565</v>
      </c>
      <c r="D6" s="696"/>
      <c r="E6" s="184"/>
      <c r="F6" s="184"/>
      <c r="G6" s="7"/>
      <c r="H6" s="4"/>
      <c r="I6" s="4"/>
      <c r="J6" s="4"/>
      <c r="K6" s="4"/>
      <c r="L6" s="5" t="s">
        <v>5</v>
      </c>
      <c r="M6" s="8" t="s">
        <v>566</v>
      </c>
    </row>
    <row r="7" spans="1:13">
      <c r="A7" s="4"/>
      <c r="B7" s="5" t="s">
        <v>7</v>
      </c>
      <c r="C7" s="9">
        <v>3</v>
      </c>
      <c r="D7" s="697"/>
      <c r="E7" s="184"/>
      <c r="F7" s="184"/>
      <c r="G7" s="6"/>
      <c r="H7" s="4"/>
      <c r="I7" s="4"/>
      <c r="J7" s="4"/>
      <c r="K7" s="4"/>
      <c r="L7" s="5" t="s">
        <v>8</v>
      </c>
      <c r="M7" s="8" t="s">
        <v>567</v>
      </c>
    </row>
    <row r="8" spans="1:13">
      <c r="A8" s="4"/>
      <c r="B8" s="5" t="s">
        <v>9</v>
      </c>
      <c r="C8" s="698" t="s">
        <v>568</v>
      </c>
      <c r="D8" s="696"/>
      <c r="E8" s="184"/>
      <c r="F8" s="184"/>
      <c r="G8" s="699"/>
      <c r="H8" s="4"/>
      <c r="I8" s="4"/>
      <c r="J8" s="4"/>
      <c r="K8" s="4"/>
      <c r="L8" s="5" t="s">
        <v>11</v>
      </c>
      <c r="M8" s="11" t="s">
        <v>569</v>
      </c>
    </row>
    <row r="9" spans="1:13">
      <c r="A9" s="4"/>
      <c r="B9" s="5" t="s">
        <v>13</v>
      </c>
      <c r="C9" s="6" t="s">
        <v>570</v>
      </c>
      <c r="D9" s="696"/>
      <c r="E9" s="184"/>
      <c r="F9" s="184"/>
      <c r="G9" s="6"/>
      <c r="H9" s="4"/>
      <c r="I9" s="4"/>
      <c r="J9" s="4"/>
      <c r="K9" s="4"/>
      <c r="L9" s="4"/>
      <c r="M9" s="4"/>
    </row>
    <row r="10" spans="1:13">
      <c r="A10" s="1124" t="s">
        <v>15</v>
      </c>
      <c r="B10" s="1124"/>
      <c r="C10" s="1124"/>
      <c r="D10" s="1124"/>
      <c r="E10" s="1124"/>
      <c r="F10" s="1124"/>
      <c r="G10" s="1177" t="s">
        <v>16</v>
      </c>
      <c r="H10" s="1177"/>
      <c r="I10" s="1177"/>
      <c r="J10" s="1177"/>
      <c r="K10" s="1178" t="s">
        <v>17</v>
      </c>
      <c r="L10" s="1178"/>
      <c r="M10" s="1178"/>
    </row>
    <row r="11" spans="1:13" ht="24">
      <c r="A11" s="700" t="s">
        <v>18</v>
      </c>
      <c r="B11" s="638" t="s">
        <v>19</v>
      </c>
      <c r="C11" s="638" t="s">
        <v>20</v>
      </c>
      <c r="D11" s="701" t="s">
        <v>21</v>
      </c>
      <c r="E11" s="702" t="s">
        <v>22</v>
      </c>
      <c r="F11" s="702" t="s">
        <v>23</v>
      </c>
      <c r="G11" s="703" t="s">
        <v>24</v>
      </c>
      <c r="H11" s="703" t="s">
        <v>25</v>
      </c>
      <c r="I11" s="704" t="s">
        <v>26</v>
      </c>
      <c r="J11" s="639" t="s">
        <v>27</v>
      </c>
      <c r="K11" s="640" t="s">
        <v>24</v>
      </c>
      <c r="L11" s="705" t="s">
        <v>25</v>
      </c>
      <c r="M11" s="705" t="s">
        <v>26</v>
      </c>
    </row>
    <row r="12" spans="1:13">
      <c r="A12" s="706" t="s">
        <v>463</v>
      </c>
      <c r="B12" s="382" t="s">
        <v>571</v>
      </c>
      <c r="C12" s="66"/>
      <c r="D12" s="598"/>
      <c r="E12" s="707"/>
      <c r="F12" s="707"/>
      <c r="G12" s="708"/>
      <c r="H12" s="708"/>
      <c r="I12" s="709"/>
      <c r="J12" s="710"/>
      <c r="K12" s="711"/>
      <c r="L12" s="568"/>
      <c r="M12" s="568"/>
    </row>
    <row r="13" spans="1:13">
      <c r="A13" s="641">
        <v>1</v>
      </c>
      <c r="B13" s="66" t="s">
        <v>464</v>
      </c>
      <c r="C13" s="66"/>
      <c r="D13" s="712"/>
      <c r="E13" s="707"/>
      <c r="F13" s="707"/>
      <c r="G13" s="708"/>
      <c r="H13" s="713"/>
      <c r="I13" s="714"/>
      <c r="J13" s="715"/>
      <c r="K13" s="716"/>
      <c r="L13" s="568"/>
      <c r="M13" s="568"/>
    </row>
    <row r="14" spans="1:13">
      <c r="A14" s="641">
        <v>1.01</v>
      </c>
      <c r="B14" s="24" t="s">
        <v>29</v>
      </c>
      <c r="C14" s="628" t="s">
        <v>30</v>
      </c>
      <c r="D14" s="712">
        <v>1300</v>
      </c>
      <c r="E14" s="707">
        <f>103943.45/D14</f>
        <v>79.956499999999991</v>
      </c>
      <c r="F14" s="707">
        <f>D14*E14</f>
        <v>103943.44999999998</v>
      </c>
      <c r="G14" s="713">
        <v>380</v>
      </c>
      <c r="H14" s="713">
        <v>171.5</v>
      </c>
      <c r="I14" s="714">
        <f>SUM(G14+H14)</f>
        <v>551.5</v>
      </c>
      <c r="J14" s="715">
        <f>I14/D14</f>
        <v>0.42423076923076924</v>
      </c>
      <c r="K14" s="568">
        <f>E14*G14</f>
        <v>30383.469999999998</v>
      </c>
      <c r="L14" s="568">
        <f>H14*E14</f>
        <v>13712.539749999998</v>
      </c>
      <c r="M14" s="568">
        <f>K14+L14</f>
        <v>44096.009749999997</v>
      </c>
    </row>
    <row r="15" spans="1:13">
      <c r="A15" s="641">
        <v>2</v>
      </c>
      <c r="B15" s="382" t="s">
        <v>572</v>
      </c>
      <c r="C15" s="621"/>
      <c r="D15" s="712"/>
      <c r="E15" s="707"/>
      <c r="F15" s="707"/>
      <c r="G15" s="717"/>
      <c r="H15" s="717"/>
      <c r="I15" s="714"/>
      <c r="J15" s="715"/>
      <c r="K15" s="718">
        <f>SUM(K14)</f>
        <v>30383.469999999998</v>
      </c>
      <c r="L15" s="576">
        <f>SUM(L14)</f>
        <v>13712.539749999998</v>
      </c>
      <c r="M15" s="576">
        <f>K15+L15</f>
        <v>44096.009749999997</v>
      </c>
    </row>
    <row r="16" spans="1:13">
      <c r="A16" s="641">
        <v>2.0099999999999998</v>
      </c>
      <c r="B16" s="581" t="s">
        <v>573</v>
      </c>
      <c r="C16" s="615" t="s">
        <v>30</v>
      </c>
      <c r="D16" s="719">
        <v>546</v>
      </c>
      <c r="E16" s="720">
        <f>1439249.08/D16</f>
        <v>2635.9873260073259</v>
      </c>
      <c r="F16" s="720">
        <f t="shared" ref="F16:F85" si="0">D16*E16</f>
        <v>1439249.0799999998</v>
      </c>
      <c r="G16" s="717"/>
      <c r="H16" s="717"/>
      <c r="I16" s="714"/>
      <c r="J16" s="715"/>
      <c r="K16" s="716"/>
      <c r="L16" s="568"/>
      <c r="M16" s="568"/>
    </row>
    <row r="17" spans="1:14" ht="16.5" customHeight="1">
      <c r="A17" s="641">
        <v>2.02</v>
      </c>
      <c r="B17" s="66" t="s">
        <v>574</v>
      </c>
      <c r="C17" s="628" t="s">
        <v>30</v>
      </c>
      <c r="D17" s="712">
        <v>451.5</v>
      </c>
      <c r="E17" s="707">
        <f>2603697.11/D17</f>
        <v>5766.7710077519378</v>
      </c>
      <c r="F17" s="707">
        <f>D17*E17</f>
        <v>2603697.11</v>
      </c>
      <c r="G17" s="713">
        <v>380</v>
      </c>
      <c r="H17" s="713">
        <f>D17-G17</f>
        <v>71.5</v>
      </c>
      <c r="I17" s="714">
        <f>SUM(G17+H17)</f>
        <v>451.5</v>
      </c>
      <c r="J17" s="715">
        <f>I17/D17</f>
        <v>1</v>
      </c>
      <c r="K17" s="568">
        <f>E17*G17</f>
        <v>2191372.9829457365</v>
      </c>
      <c r="L17" s="568">
        <f>H17*E17</f>
        <v>412324.12705426355</v>
      </c>
      <c r="M17" s="568">
        <f>K17+L17</f>
        <v>2603697.11</v>
      </c>
    </row>
    <row r="18" spans="1:14" ht="12.75" customHeight="1">
      <c r="A18" s="641">
        <v>2.0299999999999998</v>
      </c>
      <c r="B18" s="581" t="s">
        <v>575</v>
      </c>
      <c r="C18" s="615" t="s">
        <v>30</v>
      </c>
      <c r="D18" s="719">
        <v>367.5</v>
      </c>
      <c r="E18" s="720">
        <f>1836252.01/D18</f>
        <v>4996.6041088435377</v>
      </c>
      <c r="F18" s="720">
        <f t="shared" si="0"/>
        <v>1836252.01</v>
      </c>
      <c r="G18" s="717"/>
      <c r="H18" s="717"/>
      <c r="I18" s="714"/>
      <c r="J18" s="715"/>
      <c r="K18" s="721"/>
      <c r="L18" s="576"/>
      <c r="M18" s="576"/>
    </row>
    <row r="19" spans="1:14">
      <c r="A19" s="641"/>
      <c r="B19" s="382" t="s">
        <v>257</v>
      </c>
      <c r="C19" s="722"/>
      <c r="D19" s="723"/>
      <c r="E19" s="724"/>
      <c r="F19" s="724">
        <f>SUM(F14:F18)</f>
        <v>5983141.6499999994</v>
      </c>
      <c r="G19" s="717"/>
      <c r="H19" s="717"/>
      <c r="I19" s="714"/>
      <c r="J19" s="715"/>
      <c r="K19" s="721">
        <f>SUM(K17:K18)</f>
        <v>2191372.9829457365</v>
      </c>
      <c r="L19" s="576">
        <f>SUM(L17:L18)</f>
        <v>412324.12705426355</v>
      </c>
      <c r="M19" s="576">
        <f>K19+L19</f>
        <v>2603697.11</v>
      </c>
    </row>
    <row r="20" spans="1:14">
      <c r="A20" s="725">
        <v>3</v>
      </c>
      <c r="B20" s="382" t="s">
        <v>169</v>
      </c>
      <c r="C20" s="628"/>
      <c r="D20" s="712"/>
      <c r="E20" s="707"/>
      <c r="F20" s="707"/>
      <c r="G20" s="717"/>
      <c r="H20" s="717"/>
      <c r="I20" s="726"/>
      <c r="J20" s="715"/>
      <c r="K20" s="716"/>
      <c r="L20" s="568"/>
      <c r="M20" s="568"/>
    </row>
    <row r="21" spans="1:14">
      <c r="A21" s="641">
        <v>3.01</v>
      </c>
      <c r="B21" s="24" t="s">
        <v>35</v>
      </c>
      <c r="C21" s="628" t="s">
        <v>36</v>
      </c>
      <c r="D21" s="707">
        <v>1329.9</v>
      </c>
      <c r="E21" s="707">
        <f>343322.74/D21</f>
        <v>258.1568087826152</v>
      </c>
      <c r="F21" s="707">
        <f t="shared" si="0"/>
        <v>343322.74</v>
      </c>
      <c r="G21" s="713">
        <f>G17*0.8*1.3</f>
        <v>395.2</v>
      </c>
      <c r="H21" s="713">
        <v>178.68</v>
      </c>
      <c r="I21" s="714">
        <f>SUM(G21+H21)</f>
        <v>573.88</v>
      </c>
      <c r="J21" s="715">
        <f>I21/D21</f>
        <v>0.43152116700503795</v>
      </c>
      <c r="K21" s="568">
        <f>E21*G21</f>
        <v>102023.57083088953</v>
      </c>
      <c r="L21" s="568">
        <f>H21*E21</f>
        <v>46127.458593277683</v>
      </c>
      <c r="M21" s="568">
        <f>K21+L21</f>
        <v>148151.02942416721</v>
      </c>
    </row>
    <row r="22" spans="1:14">
      <c r="A22" s="641">
        <v>3.02</v>
      </c>
      <c r="B22" s="66" t="s">
        <v>576</v>
      </c>
      <c r="C22" s="628" t="s">
        <v>36</v>
      </c>
      <c r="D22" s="707">
        <v>105.3</v>
      </c>
      <c r="E22" s="707">
        <f>135398.15/D22</f>
        <v>1285.8323836657171</v>
      </c>
      <c r="F22" s="707">
        <f t="shared" si="0"/>
        <v>135398.15</v>
      </c>
      <c r="G22" s="713">
        <f>380*0.8*0.1</f>
        <v>30.400000000000002</v>
      </c>
      <c r="H22" s="713">
        <v>44.12</v>
      </c>
      <c r="I22" s="714">
        <f>SUM(G22+H22)</f>
        <v>74.52</v>
      </c>
      <c r="J22" s="715">
        <f>I22/D22</f>
        <v>0.70769230769230762</v>
      </c>
      <c r="K22" s="568">
        <f>E22*G22</f>
        <v>39089.304463437802</v>
      </c>
      <c r="L22" s="568">
        <f>H22*E22</f>
        <v>56730.924767331431</v>
      </c>
      <c r="M22" s="568">
        <f>K22+L22</f>
        <v>95820.229230769241</v>
      </c>
    </row>
    <row r="23" spans="1:14">
      <c r="A23" s="611">
        <v>3.03</v>
      </c>
      <c r="B23" s="24" t="s">
        <v>50</v>
      </c>
      <c r="C23" s="628" t="s">
        <v>36</v>
      </c>
      <c r="D23" s="707">
        <v>216.49</v>
      </c>
      <c r="E23" s="707">
        <f>43429.21/D23</f>
        <v>200.60607880271604</v>
      </c>
      <c r="F23" s="707">
        <f t="shared" si="0"/>
        <v>43429.21</v>
      </c>
      <c r="G23" s="726">
        <v>98.8</v>
      </c>
      <c r="H23" s="726">
        <v>17.829999999999998</v>
      </c>
      <c r="I23" s="714">
        <f t="shared" ref="I23:I24" si="1">SUM(G23+H23)</f>
        <v>116.63</v>
      </c>
      <c r="J23" s="715">
        <f t="shared" ref="J23:J24" si="2">I23/D23</f>
        <v>0.53873158113538733</v>
      </c>
      <c r="K23" s="568">
        <f>E23*G23</f>
        <v>19819.880585708343</v>
      </c>
      <c r="L23" s="568">
        <f t="shared" ref="L23:L24" si="3">H23*E23</f>
        <v>3576.8063850524268</v>
      </c>
      <c r="M23" s="568">
        <f>K23+L23</f>
        <v>23396.686970760769</v>
      </c>
      <c r="N23" s="727"/>
    </row>
    <row r="24" spans="1:14" ht="24.75">
      <c r="A24" s="611">
        <v>3.04</v>
      </c>
      <c r="B24" s="66" t="s">
        <v>228</v>
      </c>
      <c r="C24" s="628" t="s">
        <v>36</v>
      </c>
      <c r="D24" s="707">
        <v>1163.3699999999999</v>
      </c>
      <c r="E24" s="707">
        <f>153999.07/D24</f>
        <v>132.37325184593038</v>
      </c>
      <c r="F24" s="707">
        <f t="shared" si="0"/>
        <v>153999.07</v>
      </c>
      <c r="G24" s="713">
        <f>380*0.8*1.2</f>
        <v>364.8</v>
      </c>
      <c r="H24" s="713">
        <v>214.03</v>
      </c>
      <c r="I24" s="714">
        <f t="shared" si="1"/>
        <v>578.83000000000004</v>
      </c>
      <c r="J24" s="715">
        <f t="shared" si="2"/>
        <v>0.49754592262135011</v>
      </c>
      <c r="K24" s="568">
        <f>E24*G24</f>
        <v>48289.762273395405</v>
      </c>
      <c r="L24" s="568">
        <f t="shared" si="3"/>
        <v>28331.847092584481</v>
      </c>
      <c r="M24" s="568">
        <f>K24+L24</f>
        <v>76621.609365979879</v>
      </c>
    </row>
    <row r="25" spans="1:14">
      <c r="A25" s="611"/>
      <c r="B25" s="382" t="s">
        <v>257</v>
      </c>
      <c r="C25" s="624"/>
      <c r="D25" s="723"/>
      <c r="E25" s="724"/>
      <c r="F25" s="724">
        <f>SUM(F21:F24)</f>
        <v>676149.17</v>
      </c>
      <c r="G25" s="726"/>
      <c r="H25" s="717"/>
      <c r="I25" s="726"/>
      <c r="J25" s="715"/>
      <c r="K25" s="718">
        <f>SUM(K21:K24)</f>
        <v>209222.51815343107</v>
      </c>
      <c r="L25" s="576">
        <f>SUM(L21:L24)</f>
        <v>134767.03683824601</v>
      </c>
      <c r="M25" s="576">
        <f>SUM(M21:M24)</f>
        <v>343989.55499167705</v>
      </c>
    </row>
    <row r="26" spans="1:14">
      <c r="A26" s="725">
        <v>4</v>
      </c>
      <c r="B26" s="23" t="s">
        <v>577</v>
      </c>
      <c r="C26" s="621"/>
      <c r="D26" s="712"/>
      <c r="E26" s="707"/>
      <c r="F26" s="707"/>
      <c r="G26" s="726"/>
      <c r="H26" s="717"/>
      <c r="I26" s="726"/>
      <c r="J26" s="715"/>
      <c r="K26" s="716"/>
      <c r="L26" s="568"/>
      <c r="M26" s="568"/>
    </row>
    <row r="27" spans="1:14" ht="24.75">
      <c r="A27" s="641">
        <v>4.01</v>
      </c>
      <c r="B27" s="66" t="s">
        <v>578</v>
      </c>
      <c r="C27" s="628" t="s">
        <v>20</v>
      </c>
      <c r="D27" s="712">
        <v>6</v>
      </c>
      <c r="E27" s="707">
        <v>3290.49</v>
      </c>
      <c r="F27" s="707">
        <f t="shared" si="0"/>
        <v>19742.939999999999</v>
      </c>
      <c r="G27" s="708"/>
      <c r="H27" s="708"/>
      <c r="I27" s="714"/>
      <c r="J27" s="715"/>
      <c r="K27" s="728"/>
      <c r="L27" s="595"/>
      <c r="M27" s="595"/>
    </row>
    <row r="28" spans="1:14" ht="24.75">
      <c r="A28" s="641">
        <v>4.0199999999999996</v>
      </c>
      <c r="B28" s="66" t="s">
        <v>579</v>
      </c>
      <c r="C28" s="628" t="s">
        <v>20</v>
      </c>
      <c r="D28" s="712">
        <v>8</v>
      </c>
      <c r="E28" s="707">
        <f>29833.78/D28</f>
        <v>3729.2224999999999</v>
      </c>
      <c r="F28" s="707">
        <f t="shared" si="0"/>
        <v>29833.78</v>
      </c>
      <c r="G28" s="708"/>
      <c r="H28" s="708">
        <v>4</v>
      </c>
      <c r="I28" s="714">
        <f t="shared" ref="I28" si="4">SUM(G28+H28)</f>
        <v>4</v>
      </c>
      <c r="J28" s="715">
        <f t="shared" ref="J28" si="5">I28/D28</f>
        <v>0.5</v>
      </c>
      <c r="K28" s="711"/>
      <c r="L28" s="568">
        <f t="shared" ref="L28" si="6">H28*E28</f>
        <v>14916.89</v>
      </c>
      <c r="M28" s="568">
        <f>K28+L28</f>
        <v>14916.89</v>
      </c>
    </row>
    <row r="29" spans="1:14">
      <c r="A29" s="641"/>
      <c r="B29" s="382" t="s">
        <v>257</v>
      </c>
      <c r="C29" s="722"/>
      <c r="D29" s="723"/>
      <c r="E29" s="724"/>
      <c r="F29" s="724">
        <f>SUM(F27:F28)</f>
        <v>49576.72</v>
      </c>
      <c r="G29" s="708"/>
      <c r="H29" s="708"/>
      <c r="I29" s="714"/>
      <c r="J29" s="715"/>
      <c r="K29" s="711"/>
      <c r="L29" s="576">
        <f>SUM(L28)</f>
        <v>14916.89</v>
      </c>
      <c r="M29" s="576">
        <f>K29+L29</f>
        <v>14916.89</v>
      </c>
    </row>
    <row r="30" spans="1:14">
      <c r="A30" s="725" t="s">
        <v>580</v>
      </c>
      <c r="B30" s="23" t="s">
        <v>581</v>
      </c>
      <c r="C30" s="628"/>
      <c r="D30" s="712"/>
      <c r="E30" s="707"/>
      <c r="F30" s="707"/>
      <c r="G30" s="708"/>
      <c r="H30" s="708"/>
      <c r="I30" s="714"/>
      <c r="J30" s="715"/>
      <c r="K30" s="711"/>
      <c r="L30" s="568"/>
      <c r="M30" s="568"/>
    </row>
    <row r="31" spans="1:14">
      <c r="A31" s="611">
        <v>1</v>
      </c>
      <c r="B31" s="523" t="s">
        <v>29</v>
      </c>
      <c r="C31" s="628" t="s">
        <v>30</v>
      </c>
      <c r="D31" s="712">
        <v>1470</v>
      </c>
      <c r="E31" s="707">
        <f>117536.06/D31</f>
        <v>79.956503401360536</v>
      </c>
      <c r="F31" s="707">
        <f t="shared" si="0"/>
        <v>117536.05999999998</v>
      </c>
      <c r="G31" s="708">
        <v>1256</v>
      </c>
      <c r="H31" s="708"/>
      <c r="I31" s="714">
        <f t="shared" ref="I31" si="7">SUM(G31+H31)</f>
        <v>1256</v>
      </c>
      <c r="J31" s="715">
        <f t="shared" ref="J31" si="8">I31/D31</f>
        <v>0.85442176870748299</v>
      </c>
      <c r="K31" s="568">
        <f>E31*G31</f>
        <v>100425.36827210883</v>
      </c>
      <c r="L31" s="568">
        <f>H31*E31</f>
        <v>0</v>
      </c>
      <c r="M31" s="568"/>
    </row>
    <row r="32" spans="1:14">
      <c r="A32" s="725">
        <v>2</v>
      </c>
      <c r="B32" s="382" t="s">
        <v>40</v>
      </c>
      <c r="C32" s="628"/>
      <c r="D32" s="712"/>
      <c r="E32" s="707"/>
      <c r="F32" s="707"/>
      <c r="G32" s="708"/>
      <c r="H32" s="708"/>
      <c r="I32" s="714"/>
      <c r="J32" s="729"/>
      <c r="K32" s="711"/>
      <c r="L32" s="576">
        <f>SUM(L31)</f>
        <v>0</v>
      </c>
      <c r="M32" s="576">
        <f>K32+L32</f>
        <v>0</v>
      </c>
      <c r="N32" s="297"/>
    </row>
    <row r="33" spans="1:13" ht="24.75">
      <c r="A33" s="641">
        <v>2.0099999999999998</v>
      </c>
      <c r="B33" s="66" t="s">
        <v>582</v>
      </c>
      <c r="C33" s="628" t="s">
        <v>30</v>
      </c>
      <c r="D33" s="712">
        <v>756</v>
      </c>
      <c r="E33" s="707">
        <f>4359678.89/D33</f>
        <v>5766.7710185185178</v>
      </c>
      <c r="F33" s="707">
        <f t="shared" si="0"/>
        <v>4359678.8899999997</v>
      </c>
      <c r="G33" s="708">
        <v>756</v>
      </c>
      <c r="H33" s="708"/>
      <c r="I33" s="714">
        <f t="shared" ref="I33" si="9">SUM(G33+H33)</f>
        <v>756</v>
      </c>
      <c r="J33" s="715">
        <f t="shared" ref="J33" si="10">I33/D33</f>
        <v>1</v>
      </c>
      <c r="K33" s="568">
        <f>E33*G33</f>
        <v>4359678.8899999997</v>
      </c>
      <c r="L33" s="568">
        <f>H33*E33</f>
        <v>0</v>
      </c>
      <c r="M33" s="568">
        <f>K33+L33</f>
        <v>4359678.8899999997</v>
      </c>
    </row>
    <row r="34" spans="1:13">
      <c r="A34" s="641">
        <v>2.02</v>
      </c>
      <c r="B34" s="730" t="s">
        <v>583</v>
      </c>
      <c r="C34" s="615" t="s">
        <v>30</v>
      </c>
      <c r="D34" s="719">
        <v>787.5</v>
      </c>
      <c r="E34" s="720">
        <f>3934825.743/D34</f>
        <v>4996.6041180952379</v>
      </c>
      <c r="F34" s="720">
        <f t="shared" si="0"/>
        <v>3934825.7429999998</v>
      </c>
      <c r="G34" s="708"/>
      <c r="H34" s="708"/>
      <c r="I34" s="714"/>
      <c r="J34" s="715"/>
      <c r="K34" s="568"/>
      <c r="L34" s="568"/>
      <c r="M34" s="568"/>
    </row>
    <row r="35" spans="1:13">
      <c r="A35" s="641"/>
      <c r="B35" s="382" t="s">
        <v>257</v>
      </c>
      <c r="C35" s="624"/>
      <c r="D35" s="723"/>
      <c r="E35" s="724"/>
      <c r="F35" s="724">
        <f>SUM(F31:F34)</f>
        <v>8412040.693</v>
      </c>
      <c r="G35" s="708"/>
      <c r="H35" s="708"/>
      <c r="I35" s="714"/>
      <c r="J35" s="715"/>
      <c r="K35" s="576">
        <f>SUM(K31:K33)</f>
        <v>4460104.2582721086</v>
      </c>
      <c r="L35" s="576">
        <f>SUM(L33)</f>
        <v>0</v>
      </c>
      <c r="M35" s="576">
        <f>K35+L35</f>
        <v>4460104.2582721086</v>
      </c>
    </row>
    <row r="36" spans="1:13">
      <c r="A36" s="725">
        <v>3</v>
      </c>
      <c r="B36" s="23" t="s">
        <v>169</v>
      </c>
      <c r="C36" s="621"/>
      <c r="D36" s="712"/>
      <c r="E36" s="707"/>
      <c r="F36" s="707"/>
      <c r="G36" s="708"/>
      <c r="H36" s="708"/>
      <c r="I36" s="714"/>
      <c r="J36" s="715"/>
      <c r="K36" s="568"/>
      <c r="L36" s="568"/>
      <c r="M36" s="568"/>
    </row>
    <row r="37" spans="1:13">
      <c r="A37" s="641">
        <v>3.01</v>
      </c>
      <c r="B37" s="66" t="s">
        <v>35</v>
      </c>
      <c r="C37" s="628" t="s">
        <v>36</v>
      </c>
      <c r="D37" s="707">
        <v>1624.35</v>
      </c>
      <c r="E37" s="707">
        <f>419337.02/D37</f>
        <v>258.15681349462864</v>
      </c>
      <c r="F37" s="707">
        <f t="shared" si="0"/>
        <v>419337.02</v>
      </c>
      <c r="G37" s="708">
        <v>1108.24</v>
      </c>
      <c r="H37" s="708"/>
      <c r="I37" s="714">
        <f t="shared" ref="I37:I40" si="11">SUM(G37+H37)</f>
        <v>1108.24</v>
      </c>
      <c r="J37" s="715">
        <f t="shared" ref="J37:J40" si="12">I37/D37</f>
        <v>0.68226675285498817</v>
      </c>
      <c r="K37" s="568">
        <f>E37*G37</f>
        <v>286099.70698728727</v>
      </c>
      <c r="L37" s="568">
        <f>H37*E37</f>
        <v>0</v>
      </c>
      <c r="M37" s="568">
        <f>K37+L37</f>
        <v>286099.70698728727</v>
      </c>
    </row>
    <row r="38" spans="1:13">
      <c r="A38" s="641">
        <v>3.02</v>
      </c>
      <c r="B38" s="24" t="s">
        <v>576</v>
      </c>
      <c r="C38" s="628" t="s">
        <v>36</v>
      </c>
      <c r="D38" s="707">
        <v>66.94</v>
      </c>
      <c r="E38" s="707">
        <f>86070.4/D38</f>
        <v>1285.7842844338213</v>
      </c>
      <c r="F38" s="707">
        <f t="shared" si="0"/>
        <v>86070.399999999994</v>
      </c>
      <c r="G38" s="708">
        <v>66.94</v>
      </c>
      <c r="H38" s="708"/>
      <c r="I38" s="714">
        <f t="shared" si="11"/>
        <v>66.94</v>
      </c>
      <c r="J38" s="715">
        <f t="shared" si="12"/>
        <v>1</v>
      </c>
      <c r="K38" s="568">
        <f>E38*G38</f>
        <v>86070.399999999994</v>
      </c>
      <c r="L38" s="568">
        <f>H38*E38</f>
        <v>0</v>
      </c>
      <c r="M38" s="568">
        <f>K38+L38</f>
        <v>86070.399999999994</v>
      </c>
    </row>
    <row r="39" spans="1:13">
      <c r="A39" s="641">
        <v>3.03</v>
      </c>
      <c r="B39" s="66" t="s">
        <v>50</v>
      </c>
      <c r="C39" s="628" t="s">
        <v>36</v>
      </c>
      <c r="D39" s="707">
        <v>188.25</v>
      </c>
      <c r="E39" s="707">
        <f>37764.38/D39</f>
        <v>200.60759628154048</v>
      </c>
      <c r="F39" s="707">
        <f t="shared" si="0"/>
        <v>37764.379999999997</v>
      </c>
      <c r="G39" s="708">
        <v>128</v>
      </c>
      <c r="H39" s="708"/>
      <c r="I39" s="714">
        <f t="shared" si="11"/>
        <v>128</v>
      </c>
      <c r="J39" s="715">
        <f t="shared" si="12"/>
        <v>0.67994687915006635</v>
      </c>
      <c r="K39" s="568">
        <f t="shared" ref="K39:K40" si="13">E39*G39</f>
        <v>25677.772324037182</v>
      </c>
      <c r="L39" s="568">
        <f>H39*E39</f>
        <v>0</v>
      </c>
      <c r="M39" s="568">
        <f>K39+L39</f>
        <v>25677.772324037182</v>
      </c>
    </row>
    <row r="40" spans="1:13">
      <c r="A40" s="641">
        <v>3.04</v>
      </c>
      <c r="B40" s="24" t="s">
        <v>228</v>
      </c>
      <c r="C40" s="628" t="s">
        <v>36</v>
      </c>
      <c r="D40" s="707">
        <v>1479.54</v>
      </c>
      <c r="E40" s="707">
        <f>195851.77/D40</f>
        <v>132.3734201170634</v>
      </c>
      <c r="F40" s="707">
        <f t="shared" si="0"/>
        <v>195851.77</v>
      </c>
      <c r="G40" s="708">
        <v>1460.74</v>
      </c>
      <c r="H40" s="708"/>
      <c r="I40" s="714">
        <f t="shared" si="11"/>
        <v>1460.74</v>
      </c>
      <c r="J40" s="715">
        <f t="shared" si="12"/>
        <v>0.98729334793246548</v>
      </c>
      <c r="K40" s="568">
        <f t="shared" si="13"/>
        <v>193363.14970179921</v>
      </c>
      <c r="L40" s="568">
        <f>H40*E40</f>
        <v>0</v>
      </c>
      <c r="M40" s="568">
        <f>K40+L40</f>
        <v>193363.14970179921</v>
      </c>
    </row>
    <row r="41" spans="1:13">
      <c r="A41" s="641"/>
      <c r="B41" s="382" t="s">
        <v>257</v>
      </c>
      <c r="C41" s="722"/>
      <c r="D41" s="723"/>
      <c r="E41" s="724"/>
      <c r="F41" s="724">
        <f>SUM(F37:F40)</f>
        <v>739023.57000000007</v>
      </c>
      <c r="G41" s="708"/>
      <c r="H41" s="708"/>
      <c r="I41" s="714"/>
      <c r="J41" s="715"/>
      <c r="K41" s="576">
        <f>SUM(K37:K40)</f>
        <v>591211.0290131236</v>
      </c>
      <c r="L41" s="576">
        <f>SUM(L37:L40)</f>
        <v>0</v>
      </c>
      <c r="M41" s="576">
        <f>K41+L41</f>
        <v>591211.0290131236</v>
      </c>
    </row>
    <row r="42" spans="1:13">
      <c r="A42" s="725">
        <v>4</v>
      </c>
      <c r="B42" s="23" t="s">
        <v>577</v>
      </c>
      <c r="C42" s="628"/>
      <c r="D42" s="712"/>
      <c r="E42" s="707"/>
      <c r="F42" s="707"/>
      <c r="G42" s="708"/>
      <c r="H42" s="708"/>
      <c r="I42" s="714"/>
      <c r="J42" s="715"/>
      <c r="K42" s="731"/>
      <c r="L42" s="568"/>
      <c r="M42" s="568"/>
    </row>
    <row r="43" spans="1:13" ht="24.75">
      <c r="A43" s="611">
        <v>4.01</v>
      </c>
      <c r="B43" s="523" t="s">
        <v>584</v>
      </c>
      <c r="C43" s="628" t="s">
        <v>20</v>
      </c>
      <c r="D43" s="712">
        <v>12</v>
      </c>
      <c r="E43" s="707">
        <f>44750.66/D43</f>
        <v>3729.2216666666668</v>
      </c>
      <c r="F43" s="707">
        <f t="shared" si="0"/>
        <v>44750.66</v>
      </c>
      <c r="G43" s="708"/>
      <c r="H43" s="708">
        <v>7</v>
      </c>
      <c r="I43" s="714">
        <f t="shared" ref="I43" si="14">SUM(G43+H43)</f>
        <v>7</v>
      </c>
      <c r="J43" s="715">
        <f t="shared" ref="J43" si="15">I43/D43</f>
        <v>0.58333333333333337</v>
      </c>
      <c r="K43" s="728"/>
      <c r="L43" s="568">
        <f t="shared" ref="L43" si="16">H43*E43</f>
        <v>26104.551666666666</v>
      </c>
      <c r="M43" s="568">
        <f>K43+L43</f>
        <v>26104.551666666666</v>
      </c>
    </row>
    <row r="44" spans="1:13">
      <c r="A44" s="611"/>
      <c r="B44" s="452" t="s">
        <v>257</v>
      </c>
      <c r="C44" s="624"/>
      <c r="D44" s="723"/>
      <c r="E44" s="724"/>
      <c r="F44" s="724">
        <f>F43</f>
        <v>44750.66</v>
      </c>
      <c r="G44" s="708"/>
      <c r="H44" s="708"/>
      <c r="I44" s="714"/>
      <c r="J44" s="715"/>
      <c r="K44" s="728"/>
      <c r="L44" s="595">
        <f>SUM(L43)</f>
        <v>26104.551666666666</v>
      </c>
      <c r="M44" s="576">
        <f>K44+L44</f>
        <v>26104.551666666666</v>
      </c>
    </row>
    <row r="45" spans="1:13">
      <c r="A45" s="725" t="s">
        <v>585</v>
      </c>
      <c r="B45" s="68" t="s">
        <v>586</v>
      </c>
      <c r="C45" s="621"/>
      <c r="D45" s="712"/>
      <c r="E45" s="707"/>
      <c r="F45" s="707"/>
      <c r="G45" s="708"/>
      <c r="H45" s="708"/>
      <c r="I45" s="714"/>
      <c r="J45" s="715"/>
      <c r="K45" s="711"/>
      <c r="L45" s="568"/>
      <c r="M45" s="568"/>
    </row>
    <row r="46" spans="1:13">
      <c r="A46" s="641">
        <v>1</v>
      </c>
      <c r="B46" s="72" t="s">
        <v>464</v>
      </c>
      <c r="C46" s="621"/>
      <c r="D46" s="712"/>
      <c r="E46" s="707"/>
      <c r="F46" s="707"/>
      <c r="G46" s="708"/>
      <c r="H46" s="708"/>
      <c r="I46" s="714"/>
      <c r="J46" s="715"/>
      <c r="K46" s="711"/>
      <c r="L46" s="568"/>
      <c r="M46" s="568"/>
    </row>
    <row r="47" spans="1:13">
      <c r="A47" s="641">
        <v>1.01</v>
      </c>
      <c r="B47" s="76" t="s">
        <v>29</v>
      </c>
      <c r="C47" s="628" t="s">
        <v>32</v>
      </c>
      <c r="D47" s="712">
        <v>1</v>
      </c>
      <c r="E47" s="707">
        <v>22345.8</v>
      </c>
      <c r="F47" s="707">
        <f t="shared" si="0"/>
        <v>22345.8</v>
      </c>
      <c r="G47" s="708"/>
      <c r="H47" s="708"/>
      <c r="I47" s="714"/>
      <c r="J47" s="715"/>
      <c r="K47" s="711"/>
      <c r="L47" s="568"/>
      <c r="M47" s="568"/>
    </row>
    <row r="48" spans="1:13">
      <c r="A48" s="641">
        <v>1.02</v>
      </c>
      <c r="B48" s="72" t="s">
        <v>587</v>
      </c>
      <c r="C48" s="628" t="s">
        <v>20</v>
      </c>
      <c r="D48" s="712">
        <v>1</v>
      </c>
      <c r="E48" s="707">
        <v>40325</v>
      </c>
      <c r="F48" s="707">
        <f t="shared" si="0"/>
        <v>40325</v>
      </c>
      <c r="G48" s="708"/>
      <c r="H48" s="708"/>
      <c r="I48" s="714"/>
      <c r="J48" s="715"/>
      <c r="K48" s="711"/>
      <c r="L48" s="568"/>
      <c r="M48" s="568"/>
    </row>
    <row r="49" spans="1:13">
      <c r="A49" s="641"/>
      <c r="B49" s="372" t="s">
        <v>33</v>
      </c>
      <c r="C49" s="722"/>
      <c r="D49" s="723"/>
      <c r="E49" s="724"/>
      <c r="F49" s="724">
        <f>SUM(F47:F48)</f>
        <v>62670.8</v>
      </c>
      <c r="G49" s="708"/>
      <c r="H49" s="708"/>
      <c r="I49" s="714"/>
      <c r="J49" s="715"/>
      <c r="K49" s="711"/>
      <c r="L49" s="568"/>
      <c r="M49" s="568"/>
    </row>
    <row r="50" spans="1:13">
      <c r="A50" s="725">
        <v>2</v>
      </c>
      <c r="B50" s="68" t="s">
        <v>169</v>
      </c>
      <c r="C50" s="628"/>
      <c r="D50" s="712"/>
      <c r="E50" s="707"/>
      <c r="F50" s="707"/>
      <c r="G50" s="708"/>
      <c r="H50" s="708"/>
      <c r="I50" s="714"/>
      <c r="J50" s="715"/>
      <c r="K50" s="711"/>
      <c r="L50" s="568"/>
      <c r="M50" s="568"/>
    </row>
    <row r="51" spans="1:13" ht="24">
      <c r="A51" s="641">
        <v>2.0099999999999998</v>
      </c>
      <c r="B51" s="72" t="s">
        <v>588</v>
      </c>
      <c r="C51" s="628" t="s">
        <v>36</v>
      </c>
      <c r="D51" s="712">
        <v>205.76</v>
      </c>
      <c r="E51" s="707">
        <v>258.15080699999999</v>
      </c>
      <c r="F51" s="707">
        <f t="shared" si="0"/>
        <v>53117.110048319992</v>
      </c>
      <c r="G51" s="708"/>
      <c r="H51" s="708"/>
      <c r="I51" s="714"/>
      <c r="J51" s="715"/>
      <c r="K51" s="711"/>
      <c r="L51" s="568"/>
      <c r="M51" s="568"/>
    </row>
    <row r="52" spans="1:13" ht="36">
      <c r="A52" s="641">
        <v>2.02</v>
      </c>
      <c r="B52" s="72" t="s">
        <v>589</v>
      </c>
      <c r="C52" s="628" t="s">
        <v>36</v>
      </c>
      <c r="D52" s="712">
        <v>15.89</v>
      </c>
      <c r="E52" s="707">
        <v>990.17431999999997</v>
      </c>
      <c r="F52" s="707">
        <f t="shared" si="0"/>
        <v>15733.869944800001</v>
      </c>
      <c r="G52" s="708"/>
      <c r="H52" s="708"/>
      <c r="I52" s="714"/>
      <c r="J52" s="715"/>
      <c r="K52" s="711"/>
      <c r="L52" s="568"/>
      <c r="M52" s="568"/>
    </row>
    <row r="53" spans="1:13" ht="48">
      <c r="A53" s="641">
        <v>2.0299999999999998</v>
      </c>
      <c r="B53" s="72" t="s">
        <v>590</v>
      </c>
      <c r="C53" s="628" t="s">
        <v>36</v>
      </c>
      <c r="D53" s="712">
        <v>227.83</v>
      </c>
      <c r="E53" s="707">
        <f>45704.37/D53</f>
        <v>200.60733880524953</v>
      </c>
      <c r="F53" s="707">
        <f t="shared" si="0"/>
        <v>45704.37</v>
      </c>
      <c r="G53" s="708"/>
      <c r="H53" s="708"/>
      <c r="I53" s="714"/>
      <c r="J53" s="715"/>
      <c r="K53" s="711"/>
      <c r="L53" s="568"/>
      <c r="M53" s="568"/>
    </row>
    <row r="54" spans="1:13">
      <c r="A54" s="641"/>
      <c r="B54" s="372" t="s">
        <v>33</v>
      </c>
      <c r="C54" s="722"/>
      <c r="D54" s="723"/>
      <c r="E54" s="724"/>
      <c r="F54" s="724">
        <f>SUM(F51:F53)</f>
        <v>114555.34999312001</v>
      </c>
      <c r="G54" s="708"/>
      <c r="H54" s="708"/>
      <c r="I54" s="714"/>
      <c r="J54" s="715"/>
      <c r="K54" s="711"/>
      <c r="L54" s="568"/>
      <c r="M54" s="568"/>
    </row>
    <row r="55" spans="1:13">
      <c r="A55" s="641">
        <v>3</v>
      </c>
      <c r="B55" s="72" t="s">
        <v>591</v>
      </c>
      <c r="C55" s="628"/>
      <c r="D55" s="712"/>
      <c r="E55" s="707"/>
      <c r="F55" s="707"/>
      <c r="G55" s="708"/>
      <c r="H55" s="708"/>
      <c r="I55" s="714"/>
      <c r="J55" s="715"/>
      <c r="K55" s="711"/>
      <c r="L55" s="568"/>
      <c r="M55" s="568"/>
    </row>
    <row r="56" spans="1:13" ht="24">
      <c r="A56" s="641">
        <v>3.01</v>
      </c>
      <c r="B56" s="72" t="s">
        <v>592</v>
      </c>
      <c r="C56" s="628" t="s">
        <v>36</v>
      </c>
      <c r="D56" s="712">
        <v>16.87</v>
      </c>
      <c r="E56" s="707">
        <f>267425.6/D56</f>
        <v>15852.139893301717</v>
      </c>
      <c r="F56" s="707">
        <f t="shared" si="0"/>
        <v>267425.59999999998</v>
      </c>
      <c r="G56" s="708"/>
      <c r="H56" s="708"/>
      <c r="I56" s="714"/>
      <c r="J56" s="715"/>
      <c r="K56" s="711"/>
      <c r="L56" s="568"/>
      <c r="M56" s="568"/>
    </row>
    <row r="57" spans="1:13">
      <c r="A57" s="641">
        <v>3.02</v>
      </c>
      <c r="B57" s="72" t="s">
        <v>593</v>
      </c>
      <c r="C57" s="628" t="s">
        <v>36</v>
      </c>
      <c r="D57" s="712">
        <v>21.02</v>
      </c>
      <c r="E57" s="707">
        <f>230242.3/D57</f>
        <v>10953.48715509039</v>
      </c>
      <c r="F57" s="707">
        <f t="shared" si="0"/>
        <v>230242.3</v>
      </c>
      <c r="G57" s="708"/>
      <c r="H57" s="708"/>
      <c r="I57" s="714"/>
      <c r="J57" s="715"/>
      <c r="K57" s="711"/>
      <c r="L57" s="568"/>
      <c r="M57" s="568"/>
    </row>
    <row r="58" spans="1:13" ht="24">
      <c r="A58" s="641">
        <v>3.03</v>
      </c>
      <c r="B58" s="72" t="s">
        <v>594</v>
      </c>
      <c r="C58" s="628" t="s">
        <v>36</v>
      </c>
      <c r="D58" s="712">
        <v>1.39</v>
      </c>
      <c r="E58" s="707">
        <f>20572.09/D58</f>
        <v>14800.064748201439</v>
      </c>
      <c r="F58" s="707">
        <f t="shared" si="0"/>
        <v>20572.09</v>
      </c>
      <c r="G58" s="708"/>
      <c r="H58" s="708"/>
      <c r="I58" s="714"/>
      <c r="J58" s="715"/>
      <c r="K58" s="711"/>
      <c r="L58" s="568"/>
      <c r="M58" s="568"/>
    </row>
    <row r="59" spans="1:13" ht="24">
      <c r="A59" s="641">
        <v>3.04</v>
      </c>
      <c r="B59" s="72" t="s">
        <v>595</v>
      </c>
      <c r="C59" s="628" t="s">
        <v>36</v>
      </c>
      <c r="D59" s="712">
        <v>1.46</v>
      </c>
      <c r="E59" s="707">
        <f>24093.14/D59</f>
        <v>16502.150684931508</v>
      </c>
      <c r="F59" s="707">
        <f t="shared" si="0"/>
        <v>24093.140000000003</v>
      </c>
      <c r="G59" s="708"/>
      <c r="H59" s="708"/>
      <c r="I59" s="714"/>
      <c r="J59" s="715"/>
      <c r="K59" s="711"/>
      <c r="L59" s="568"/>
      <c r="M59" s="568"/>
    </row>
    <row r="60" spans="1:13">
      <c r="A60" s="641">
        <v>3.05</v>
      </c>
      <c r="B60" s="76" t="s">
        <v>596</v>
      </c>
      <c r="C60" s="628" t="s">
        <v>36</v>
      </c>
      <c r="D60" s="712">
        <v>43.74</v>
      </c>
      <c r="E60" s="707">
        <f>1286488.38/D60</f>
        <v>29412.171467764056</v>
      </c>
      <c r="F60" s="707">
        <f t="shared" si="0"/>
        <v>1286488.3799999999</v>
      </c>
      <c r="G60" s="708"/>
      <c r="H60" s="708"/>
      <c r="I60" s="714"/>
      <c r="J60" s="715"/>
      <c r="K60" s="711"/>
      <c r="L60" s="568"/>
      <c r="M60" s="568"/>
    </row>
    <row r="61" spans="1:13" ht="24">
      <c r="A61" s="641">
        <v>3.06</v>
      </c>
      <c r="B61" s="72" t="s">
        <v>597</v>
      </c>
      <c r="C61" s="628" t="s">
        <v>36</v>
      </c>
      <c r="D61" s="712">
        <v>1.66</v>
      </c>
      <c r="E61" s="707">
        <f>59380.56/D61</f>
        <v>35771.421686746988</v>
      </c>
      <c r="F61" s="707">
        <f t="shared" si="0"/>
        <v>59380.56</v>
      </c>
      <c r="G61" s="708"/>
      <c r="H61" s="708"/>
      <c r="I61" s="714"/>
      <c r="J61" s="715"/>
      <c r="K61" s="711"/>
      <c r="L61" s="568"/>
      <c r="M61" s="568"/>
    </row>
    <row r="62" spans="1:13" ht="24">
      <c r="A62" s="641">
        <v>3.07</v>
      </c>
      <c r="B62" s="72" t="s">
        <v>598</v>
      </c>
      <c r="C62" s="628" t="s">
        <v>36</v>
      </c>
      <c r="D62" s="712">
        <v>3.32</v>
      </c>
      <c r="E62" s="707">
        <f>109849.79/D62</f>
        <v>33087.286144578313</v>
      </c>
      <c r="F62" s="707">
        <f t="shared" si="0"/>
        <v>109849.79</v>
      </c>
      <c r="G62" s="708"/>
      <c r="H62" s="708"/>
      <c r="I62" s="714"/>
      <c r="J62" s="715"/>
      <c r="K62" s="711"/>
      <c r="L62" s="568"/>
      <c r="M62" s="568"/>
    </row>
    <row r="63" spans="1:13">
      <c r="A63" s="641">
        <v>3.08</v>
      </c>
      <c r="B63" s="72" t="s">
        <v>599</v>
      </c>
      <c r="C63" s="628" t="s">
        <v>36</v>
      </c>
      <c r="D63" s="712">
        <v>2.68</v>
      </c>
      <c r="E63" s="707">
        <f>85110.05/D63</f>
        <v>31757.48134328358</v>
      </c>
      <c r="F63" s="707">
        <f t="shared" si="0"/>
        <v>85110.05</v>
      </c>
      <c r="G63" s="708"/>
      <c r="H63" s="708"/>
      <c r="I63" s="714"/>
      <c r="J63" s="715"/>
      <c r="K63" s="711"/>
      <c r="L63" s="568"/>
      <c r="M63" s="568"/>
    </row>
    <row r="64" spans="1:13">
      <c r="A64" s="611">
        <v>3.09</v>
      </c>
      <c r="B64" s="71" t="s">
        <v>600</v>
      </c>
      <c r="C64" s="732" t="s">
        <v>36</v>
      </c>
      <c r="D64" s="733">
        <v>19.48</v>
      </c>
      <c r="E64" s="734">
        <v>16471.975900000001</v>
      </c>
      <c r="F64" s="707">
        <f t="shared" si="0"/>
        <v>320874.09053200006</v>
      </c>
      <c r="G64" s="708"/>
      <c r="H64" s="708"/>
      <c r="I64" s="714"/>
      <c r="J64" s="715"/>
      <c r="K64" s="711"/>
      <c r="L64" s="568"/>
      <c r="M64" s="568"/>
    </row>
    <row r="65" spans="1:13" ht="24">
      <c r="A65" s="641">
        <v>3.1</v>
      </c>
      <c r="B65" s="72" t="s">
        <v>601</v>
      </c>
      <c r="C65" s="628" t="s">
        <v>36</v>
      </c>
      <c r="D65" s="712">
        <v>0.06</v>
      </c>
      <c r="E65" s="707">
        <v>27673</v>
      </c>
      <c r="F65" s="707">
        <f t="shared" si="0"/>
        <v>1660.3799999999999</v>
      </c>
      <c r="G65" s="708"/>
      <c r="H65" s="708"/>
      <c r="I65" s="714"/>
      <c r="J65" s="715"/>
      <c r="K65" s="711"/>
      <c r="L65" s="568"/>
      <c r="M65" s="568"/>
    </row>
    <row r="66" spans="1:13">
      <c r="A66" s="641"/>
      <c r="B66" s="372" t="s">
        <v>33</v>
      </c>
      <c r="C66" s="722"/>
      <c r="D66" s="723"/>
      <c r="E66" s="724"/>
      <c r="F66" s="724">
        <f>SUM(F56:F65)</f>
        <v>2405696.3805319997</v>
      </c>
      <c r="G66" s="708"/>
      <c r="H66" s="708"/>
      <c r="I66" s="714"/>
      <c r="J66" s="715"/>
      <c r="K66" s="711"/>
      <c r="L66" s="568"/>
      <c r="M66" s="568"/>
    </row>
    <row r="67" spans="1:13">
      <c r="A67" s="725">
        <v>4</v>
      </c>
      <c r="B67" s="68" t="s">
        <v>602</v>
      </c>
      <c r="C67" s="628"/>
      <c r="D67" s="712"/>
      <c r="E67" s="707"/>
      <c r="F67" s="707"/>
      <c r="G67" s="708"/>
      <c r="H67" s="708"/>
      <c r="I67" s="714"/>
      <c r="J67" s="715"/>
      <c r="K67" s="711"/>
      <c r="L67" s="568"/>
      <c r="M67" s="568"/>
    </row>
    <row r="68" spans="1:13">
      <c r="A68" s="641">
        <v>4.01</v>
      </c>
      <c r="B68" s="72" t="s">
        <v>603</v>
      </c>
      <c r="C68" s="628" t="s">
        <v>58</v>
      </c>
      <c r="D68" s="712">
        <v>319.64</v>
      </c>
      <c r="E68" s="707">
        <v>416.050588</v>
      </c>
      <c r="F68" s="707">
        <f t="shared" si="0"/>
        <v>132986.40994831998</v>
      </c>
      <c r="G68" s="708"/>
      <c r="H68" s="708"/>
      <c r="I68" s="714"/>
      <c r="J68" s="715"/>
      <c r="K68" s="711"/>
      <c r="L68" s="568"/>
      <c r="M68" s="568"/>
    </row>
    <row r="69" spans="1:13">
      <c r="A69" s="641">
        <v>4.0199999999999996</v>
      </c>
      <c r="B69" s="72" t="s">
        <v>604</v>
      </c>
      <c r="C69" s="628" t="s">
        <v>58</v>
      </c>
      <c r="D69" s="712">
        <v>292.58</v>
      </c>
      <c r="E69" s="707">
        <v>682.58633499999996</v>
      </c>
      <c r="F69" s="707">
        <f t="shared" si="0"/>
        <v>199711.10989429997</v>
      </c>
      <c r="G69" s="708"/>
      <c r="H69" s="708"/>
      <c r="I69" s="714"/>
      <c r="J69" s="715"/>
      <c r="K69" s="711"/>
      <c r="L69" s="568"/>
      <c r="M69" s="568"/>
    </row>
    <row r="70" spans="1:13">
      <c r="A70" s="641">
        <v>4.03</v>
      </c>
      <c r="B70" s="72" t="s">
        <v>605</v>
      </c>
      <c r="C70" s="628" t="s">
        <v>58</v>
      </c>
      <c r="D70" s="712">
        <v>129.88</v>
      </c>
      <c r="E70" s="707">
        <v>634.13651100000004</v>
      </c>
      <c r="F70" s="707">
        <f t="shared" si="0"/>
        <v>82361.650048680007</v>
      </c>
      <c r="G70" s="708"/>
      <c r="H70" s="708"/>
      <c r="I70" s="714"/>
      <c r="J70" s="715"/>
      <c r="K70" s="711"/>
      <c r="L70" s="568"/>
      <c r="M70" s="568"/>
    </row>
    <row r="71" spans="1:13">
      <c r="A71" s="641">
        <v>4.04</v>
      </c>
      <c r="B71" s="72" t="s">
        <v>606</v>
      </c>
      <c r="C71" s="628" t="s">
        <v>58</v>
      </c>
      <c r="D71" s="712">
        <v>129.88</v>
      </c>
      <c r="E71" s="707">
        <v>634.13651100000004</v>
      </c>
      <c r="F71" s="707">
        <f t="shared" si="0"/>
        <v>82361.650048680007</v>
      </c>
      <c r="G71" s="708"/>
      <c r="H71" s="708"/>
      <c r="I71" s="714"/>
      <c r="J71" s="715"/>
      <c r="K71" s="711"/>
      <c r="L71" s="568"/>
      <c r="M71" s="568"/>
    </row>
    <row r="72" spans="1:13">
      <c r="A72" s="641">
        <v>4.05</v>
      </c>
      <c r="B72" s="72" t="s">
        <v>73</v>
      </c>
      <c r="C72" s="628" t="s">
        <v>58</v>
      </c>
      <c r="D72" s="712">
        <v>184.24</v>
      </c>
      <c r="E72" s="707">
        <v>188.10258400000001</v>
      </c>
      <c r="F72" s="707">
        <f t="shared" si="0"/>
        <v>34656.020076160006</v>
      </c>
      <c r="G72" s="708"/>
      <c r="H72" s="708"/>
      <c r="I72" s="714"/>
      <c r="J72" s="715"/>
      <c r="K72" s="711"/>
      <c r="L72" s="568"/>
      <c r="M72" s="568"/>
    </row>
    <row r="73" spans="1:13" ht="24">
      <c r="A73" s="641">
        <v>4.0599999999999996</v>
      </c>
      <c r="B73" s="72" t="s">
        <v>607</v>
      </c>
      <c r="C73" s="628" t="s">
        <v>58</v>
      </c>
      <c r="D73" s="712">
        <v>258.42</v>
      </c>
      <c r="E73" s="707">
        <v>326.29308900000001</v>
      </c>
      <c r="F73" s="707">
        <f t="shared" si="0"/>
        <v>84320.66005938001</v>
      </c>
      <c r="G73" s="708"/>
      <c r="H73" s="708"/>
      <c r="I73" s="714"/>
      <c r="J73" s="715"/>
      <c r="K73" s="711"/>
      <c r="L73" s="568"/>
      <c r="M73" s="568"/>
    </row>
    <row r="74" spans="1:13">
      <c r="A74" s="641"/>
      <c r="B74" s="372" t="s">
        <v>33</v>
      </c>
      <c r="C74" s="722"/>
      <c r="D74" s="723"/>
      <c r="E74" s="724"/>
      <c r="F74" s="724">
        <f>SUM(F68:F73)</f>
        <v>616397.50007552002</v>
      </c>
      <c r="G74" s="708"/>
      <c r="H74" s="708"/>
      <c r="I74" s="714"/>
      <c r="J74" s="715"/>
      <c r="K74" s="711"/>
      <c r="L74" s="568"/>
      <c r="M74" s="568"/>
    </row>
    <row r="75" spans="1:13" ht="36">
      <c r="A75" s="641">
        <v>5</v>
      </c>
      <c r="B75" s="72" t="s">
        <v>608</v>
      </c>
      <c r="C75" s="628"/>
      <c r="D75" s="712"/>
      <c r="E75" s="707"/>
      <c r="F75" s="707"/>
      <c r="G75" s="708"/>
      <c r="H75" s="708"/>
      <c r="I75" s="714"/>
      <c r="J75" s="715"/>
      <c r="K75" s="711"/>
      <c r="L75" s="568"/>
      <c r="M75" s="568"/>
    </row>
    <row r="76" spans="1:13">
      <c r="A76" s="641">
        <v>5.01</v>
      </c>
      <c r="B76" s="72" t="s">
        <v>609</v>
      </c>
      <c r="C76" s="628" t="s">
        <v>20</v>
      </c>
      <c r="D76" s="712">
        <v>1</v>
      </c>
      <c r="E76" s="707">
        <v>19513.73</v>
      </c>
      <c r="F76" s="707">
        <f t="shared" si="0"/>
        <v>19513.73</v>
      </c>
      <c r="G76" s="708"/>
      <c r="H76" s="708"/>
      <c r="I76" s="714"/>
      <c r="J76" s="715"/>
      <c r="K76" s="711"/>
      <c r="L76" s="568"/>
      <c r="M76" s="568"/>
    </row>
    <row r="77" spans="1:13">
      <c r="A77" s="641">
        <v>5.0199999999999996</v>
      </c>
      <c r="B77" s="72" t="s">
        <v>610</v>
      </c>
      <c r="C77" s="628" t="s">
        <v>20</v>
      </c>
      <c r="D77" s="712">
        <v>1</v>
      </c>
      <c r="E77" s="707">
        <v>10198.629999999999</v>
      </c>
      <c r="F77" s="707">
        <f t="shared" si="0"/>
        <v>10198.629999999999</v>
      </c>
      <c r="G77" s="708"/>
      <c r="H77" s="708"/>
      <c r="I77" s="714"/>
      <c r="J77" s="715"/>
      <c r="K77" s="711"/>
      <c r="L77" s="568"/>
      <c r="M77" s="568"/>
    </row>
    <row r="78" spans="1:13">
      <c r="A78" s="641">
        <v>5.03</v>
      </c>
      <c r="B78" s="72" t="s">
        <v>611</v>
      </c>
      <c r="C78" s="628" t="s">
        <v>20</v>
      </c>
      <c r="D78" s="712">
        <v>3</v>
      </c>
      <c r="E78" s="707">
        <v>16760.866699999999</v>
      </c>
      <c r="F78" s="707">
        <f t="shared" si="0"/>
        <v>50282.600099999996</v>
      </c>
      <c r="G78" s="708"/>
      <c r="H78" s="708"/>
      <c r="I78" s="714"/>
      <c r="J78" s="715"/>
      <c r="K78" s="711"/>
      <c r="L78" s="568"/>
      <c r="M78" s="568"/>
    </row>
    <row r="79" spans="1:13">
      <c r="A79" s="641">
        <v>5.04</v>
      </c>
      <c r="B79" s="72" t="s">
        <v>612</v>
      </c>
      <c r="C79" s="628" t="s">
        <v>20</v>
      </c>
      <c r="D79" s="712">
        <v>1</v>
      </c>
      <c r="E79" s="707">
        <v>13738.46</v>
      </c>
      <c r="F79" s="707">
        <f t="shared" si="0"/>
        <v>13738.46</v>
      </c>
      <c r="G79" s="708"/>
      <c r="H79" s="708"/>
      <c r="I79" s="714"/>
      <c r="J79" s="715"/>
      <c r="K79" s="711"/>
      <c r="L79" s="568"/>
      <c r="M79" s="568"/>
    </row>
    <row r="80" spans="1:13" ht="24">
      <c r="A80" s="641">
        <v>5.05</v>
      </c>
      <c r="B80" s="72" t="s">
        <v>613</v>
      </c>
      <c r="C80" s="628" t="s">
        <v>20</v>
      </c>
      <c r="D80" s="712">
        <v>3</v>
      </c>
      <c r="E80" s="707">
        <v>2756.05</v>
      </c>
      <c r="F80" s="707">
        <f t="shared" si="0"/>
        <v>8268.1500000000015</v>
      </c>
      <c r="G80" s="708"/>
      <c r="H80" s="708"/>
      <c r="I80" s="714"/>
      <c r="J80" s="715"/>
      <c r="K80" s="711"/>
      <c r="L80" s="568"/>
      <c r="M80" s="568"/>
    </row>
    <row r="81" spans="1:13" ht="24">
      <c r="A81" s="641">
        <v>5.0599999999999996</v>
      </c>
      <c r="B81" s="72" t="s">
        <v>614</v>
      </c>
      <c r="C81" s="628" t="s">
        <v>20</v>
      </c>
      <c r="D81" s="712">
        <v>1</v>
      </c>
      <c r="E81" s="707">
        <v>1826.45</v>
      </c>
      <c r="F81" s="707">
        <f t="shared" si="0"/>
        <v>1826.45</v>
      </c>
      <c r="G81" s="708"/>
      <c r="H81" s="708"/>
      <c r="I81" s="714"/>
      <c r="J81" s="715"/>
      <c r="K81" s="711"/>
      <c r="L81" s="568"/>
      <c r="M81" s="568"/>
    </row>
    <row r="82" spans="1:13" ht="60">
      <c r="A82" s="641">
        <v>5.07</v>
      </c>
      <c r="B82" s="72" t="s">
        <v>615</v>
      </c>
      <c r="C82" s="628" t="s">
        <v>20</v>
      </c>
      <c r="D82" s="712">
        <v>1</v>
      </c>
      <c r="E82" s="707">
        <v>41924.949999999997</v>
      </c>
      <c r="F82" s="707">
        <f t="shared" si="0"/>
        <v>41924.949999999997</v>
      </c>
      <c r="G82" s="708"/>
      <c r="H82" s="708"/>
      <c r="I82" s="714"/>
      <c r="J82" s="715"/>
      <c r="K82" s="711"/>
      <c r="L82" s="568"/>
      <c r="M82" s="568"/>
    </row>
    <row r="83" spans="1:13">
      <c r="A83" s="611">
        <v>5.08</v>
      </c>
      <c r="B83" s="72" t="s">
        <v>616</v>
      </c>
      <c r="C83" s="732" t="s">
        <v>617</v>
      </c>
      <c r="D83" s="735">
        <v>24.03</v>
      </c>
      <c r="E83" s="734">
        <v>9818.8456100000003</v>
      </c>
      <c r="F83" s="707">
        <f t="shared" si="0"/>
        <v>235946.86000830002</v>
      </c>
      <c r="G83" s="708"/>
      <c r="H83" s="708"/>
      <c r="I83" s="714"/>
      <c r="J83" s="715"/>
      <c r="K83" s="711"/>
      <c r="L83" s="568"/>
      <c r="M83" s="568"/>
    </row>
    <row r="84" spans="1:13">
      <c r="A84" s="641">
        <v>5.09</v>
      </c>
      <c r="B84" s="72" t="s">
        <v>618</v>
      </c>
      <c r="C84" s="628" t="s">
        <v>617</v>
      </c>
      <c r="D84" s="712">
        <v>19.88</v>
      </c>
      <c r="E84" s="707">
        <v>4996.60412</v>
      </c>
      <c r="F84" s="707">
        <f t="shared" si="0"/>
        <v>99332.489905599999</v>
      </c>
      <c r="G84" s="708"/>
      <c r="H84" s="708"/>
      <c r="I84" s="714"/>
      <c r="J84" s="715"/>
      <c r="K84" s="711"/>
      <c r="L84" s="568"/>
      <c r="M84" s="568"/>
    </row>
    <row r="85" spans="1:13" ht="24">
      <c r="A85" s="641">
        <v>5.0999999999999996</v>
      </c>
      <c r="B85" s="72" t="s">
        <v>619</v>
      </c>
      <c r="C85" s="628" t="s">
        <v>20</v>
      </c>
      <c r="D85" s="712">
        <v>4.68</v>
      </c>
      <c r="E85" s="707">
        <v>5200.7072600000001</v>
      </c>
      <c r="F85" s="707">
        <f t="shared" si="0"/>
        <v>24339.309976799999</v>
      </c>
      <c r="G85" s="708"/>
      <c r="H85" s="708"/>
      <c r="I85" s="714"/>
      <c r="J85" s="715"/>
      <c r="K85" s="711"/>
      <c r="L85" s="568"/>
      <c r="M85" s="568"/>
    </row>
    <row r="86" spans="1:13" ht="24">
      <c r="A86" s="641">
        <v>5.1100000000000003</v>
      </c>
      <c r="B86" s="72" t="s">
        <v>620</v>
      </c>
      <c r="C86" s="628" t="s">
        <v>20</v>
      </c>
      <c r="D86" s="712">
        <v>3</v>
      </c>
      <c r="E86" s="707">
        <v>3729.2233299999998</v>
      </c>
      <c r="F86" s="707">
        <f t="shared" ref="F86:F138" si="17">D86*E86</f>
        <v>11187.669989999999</v>
      </c>
      <c r="G86" s="708"/>
      <c r="H86" s="708"/>
      <c r="I86" s="714"/>
      <c r="J86" s="715"/>
      <c r="K86" s="711"/>
      <c r="L86" s="568"/>
      <c r="M86" s="568"/>
    </row>
    <row r="87" spans="1:13">
      <c r="A87" s="641">
        <v>5.12</v>
      </c>
      <c r="B87" s="72" t="s">
        <v>621</v>
      </c>
      <c r="C87" s="628" t="s">
        <v>20</v>
      </c>
      <c r="D87" s="712">
        <v>4</v>
      </c>
      <c r="E87" s="707">
        <v>5573.75</v>
      </c>
      <c r="F87" s="707">
        <f t="shared" si="17"/>
        <v>22295</v>
      </c>
      <c r="G87" s="708"/>
      <c r="H87" s="708"/>
      <c r="I87" s="714"/>
      <c r="J87" s="715"/>
      <c r="K87" s="711"/>
      <c r="L87" s="568"/>
      <c r="M87" s="568"/>
    </row>
    <row r="88" spans="1:13">
      <c r="A88" s="641">
        <v>5.13</v>
      </c>
      <c r="B88" s="72" t="s">
        <v>622</v>
      </c>
      <c r="C88" s="628" t="s">
        <v>20</v>
      </c>
      <c r="D88" s="712">
        <v>1</v>
      </c>
      <c r="E88" s="707">
        <v>2354.5300000000002</v>
      </c>
      <c r="F88" s="707">
        <f t="shared" si="17"/>
        <v>2354.5300000000002</v>
      </c>
      <c r="G88" s="708"/>
      <c r="H88" s="708"/>
      <c r="I88" s="714"/>
      <c r="J88" s="715"/>
      <c r="K88" s="711"/>
      <c r="L88" s="568"/>
      <c r="M88" s="568"/>
    </row>
    <row r="89" spans="1:13" ht="24">
      <c r="A89" s="641">
        <v>5.14</v>
      </c>
      <c r="B89" s="72" t="s">
        <v>623</v>
      </c>
      <c r="C89" s="628" t="s">
        <v>20</v>
      </c>
      <c r="D89" s="712">
        <v>1</v>
      </c>
      <c r="E89" s="707">
        <v>245000</v>
      </c>
      <c r="F89" s="707">
        <f t="shared" si="17"/>
        <v>245000</v>
      </c>
      <c r="G89" s="708"/>
      <c r="H89" s="708"/>
      <c r="I89" s="714"/>
      <c r="J89" s="715"/>
      <c r="K89" s="711"/>
      <c r="L89" s="568"/>
      <c r="M89" s="568"/>
    </row>
    <row r="90" spans="1:13" ht="24">
      <c r="A90" s="641">
        <v>5.15</v>
      </c>
      <c r="B90" s="72" t="s">
        <v>624</v>
      </c>
      <c r="C90" s="628" t="s">
        <v>20</v>
      </c>
      <c r="D90" s="712">
        <v>1</v>
      </c>
      <c r="E90" s="707">
        <v>17899.490000000002</v>
      </c>
      <c r="F90" s="707">
        <f t="shared" si="17"/>
        <v>17899.490000000002</v>
      </c>
      <c r="G90" s="708"/>
      <c r="H90" s="708"/>
      <c r="I90" s="714"/>
      <c r="J90" s="715"/>
      <c r="K90" s="711"/>
      <c r="L90" s="568"/>
      <c r="M90" s="568"/>
    </row>
    <row r="91" spans="1:13" ht="24">
      <c r="A91" s="641">
        <v>5.16</v>
      </c>
      <c r="B91" s="72" t="s">
        <v>625</v>
      </c>
      <c r="C91" s="628" t="s">
        <v>20</v>
      </c>
      <c r="D91" s="712">
        <v>1</v>
      </c>
      <c r="E91" s="707">
        <v>56666.58</v>
      </c>
      <c r="F91" s="707">
        <f t="shared" si="17"/>
        <v>56666.58</v>
      </c>
      <c r="G91" s="708"/>
      <c r="H91" s="708"/>
      <c r="I91" s="714"/>
      <c r="J91" s="715"/>
      <c r="K91" s="711"/>
      <c r="L91" s="568"/>
      <c r="M91" s="568"/>
    </row>
    <row r="92" spans="1:13" ht="24">
      <c r="A92" s="641">
        <v>5.17</v>
      </c>
      <c r="B92" s="72" t="s">
        <v>626</v>
      </c>
      <c r="C92" s="628" t="s">
        <v>20</v>
      </c>
      <c r="D92" s="712">
        <v>1</v>
      </c>
      <c r="E92" s="707">
        <v>4413.18</v>
      </c>
      <c r="F92" s="707">
        <f t="shared" si="17"/>
        <v>4413.18</v>
      </c>
      <c r="G92" s="708"/>
      <c r="H92" s="708"/>
      <c r="I92" s="714"/>
      <c r="J92" s="715"/>
      <c r="K92" s="711"/>
      <c r="L92" s="568"/>
      <c r="M92" s="568"/>
    </row>
    <row r="93" spans="1:13" ht="24">
      <c r="A93" s="641">
        <v>5.18</v>
      </c>
      <c r="B93" s="72" t="s">
        <v>627</v>
      </c>
      <c r="C93" s="628" t="s">
        <v>20</v>
      </c>
      <c r="D93" s="712">
        <v>2</v>
      </c>
      <c r="E93" s="707">
        <v>2829.2750000000001</v>
      </c>
      <c r="F93" s="707">
        <f t="shared" si="17"/>
        <v>5658.55</v>
      </c>
      <c r="G93" s="708"/>
      <c r="H93" s="708"/>
      <c r="I93" s="714"/>
      <c r="J93" s="715"/>
      <c r="K93" s="711"/>
      <c r="L93" s="568"/>
      <c r="M93" s="568"/>
    </row>
    <row r="94" spans="1:13" ht="24">
      <c r="A94" s="641">
        <v>5.19</v>
      </c>
      <c r="B94" s="72" t="s">
        <v>628</v>
      </c>
      <c r="C94" s="628" t="s">
        <v>20</v>
      </c>
      <c r="D94" s="712">
        <v>1</v>
      </c>
      <c r="E94" s="707">
        <v>8764.35</v>
      </c>
      <c r="F94" s="707">
        <f t="shared" si="17"/>
        <v>8764.35</v>
      </c>
      <c r="G94" s="708"/>
      <c r="H94" s="708"/>
      <c r="I94" s="714"/>
      <c r="J94" s="715"/>
      <c r="K94" s="711"/>
      <c r="L94" s="568"/>
      <c r="M94" s="568"/>
    </row>
    <row r="95" spans="1:13" ht="24">
      <c r="A95" s="641">
        <v>5.2</v>
      </c>
      <c r="B95" s="72" t="s">
        <v>629</v>
      </c>
      <c r="C95" s="628" t="s">
        <v>20</v>
      </c>
      <c r="D95" s="712">
        <v>1</v>
      </c>
      <c r="E95" s="707">
        <v>5374.8</v>
      </c>
      <c r="F95" s="707">
        <f t="shared" si="17"/>
        <v>5374.8</v>
      </c>
      <c r="G95" s="708"/>
      <c r="H95" s="708"/>
      <c r="I95" s="714"/>
      <c r="J95" s="715"/>
      <c r="K95" s="711"/>
      <c r="L95" s="568"/>
      <c r="M95" s="568"/>
    </row>
    <row r="96" spans="1:13">
      <c r="A96" s="641"/>
      <c r="B96" s="372" t="s">
        <v>33</v>
      </c>
      <c r="C96" s="722"/>
      <c r="D96" s="723"/>
      <c r="E96" s="724"/>
      <c r="F96" s="724">
        <f>SUM(F76:F95)</f>
        <v>884985.77998070011</v>
      </c>
      <c r="G96" s="708"/>
      <c r="H96" s="708"/>
      <c r="I96" s="714"/>
      <c r="J96" s="715"/>
      <c r="K96" s="711"/>
      <c r="L96" s="568"/>
      <c r="M96" s="568"/>
    </row>
    <row r="97" spans="1:14" ht="24">
      <c r="A97" s="725">
        <v>5.0999999999999996</v>
      </c>
      <c r="B97" s="372" t="s">
        <v>630</v>
      </c>
      <c r="C97" s="628"/>
      <c r="D97" s="712"/>
      <c r="E97" s="707"/>
      <c r="F97" s="707"/>
      <c r="G97" s="708"/>
      <c r="H97" s="708"/>
      <c r="I97" s="714"/>
      <c r="J97" s="715"/>
      <c r="K97" s="711"/>
      <c r="L97" s="568"/>
      <c r="M97" s="568"/>
    </row>
    <row r="98" spans="1:14" ht="24">
      <c r="A98" s="641">
        <v>5.1100000000000003</v>
      </c>
      <c r="B98" s="72" t="s">
        <v>588</v>
      </c>
      <c r="C98" s="628" t="s">
        <v>36</v>
      </c>
      <c r="D98" s="712">
        <v>56.84</v>
      </c>
      <c r="E98" s="707">
        <v>258.15675599999997</v>
      </c>
      <c r="F98" s="707">
        <f t="shared" si="17"/>
        <v>14673.630011039999</v>
      </c>
      <c r="G98" s="708"/>
      <c r="H98" s="708"/>
      <c r="I98" s="714"/>
      <c r="J98" s="715"/>
      <c r="K98" s="711"/>
      <c r="L98" s="568"/>
      <c r="M98" s="568"/>
    </row>
    <row r="99" spans="1:14" ht="24">
      <c r="A99" s="641">
        <v>5.12</v>
      </c>
      <c r="B99" s="72" t="s">
        <v>631</v>
      </c>
      <c r="C99" s="628" t="s">
        <v>36</v>
      </c>
      <c r="D99" s="712">
        <v>1.79</v>
      </c>
      <c r="E99" s="707">
        <v>1285.83</v>
      </c>
      <c r="F99" s="707">
        <f t="shared" si="17"/>
        <v>2301.6356999999998</v>
      </c>
      <c r="G99" s="708"/>
      <c r="H99" s="708"/>
      <c r="I99" s="714"/>
      <c r="J99" s="715"/>
      <c r="K99" s="711"/>
      <c r="L99" s="568"/>
      <c r="M99" s="568"/>
    </row>
    <row r="100" spans="1:14" ht="36">
      <c r="A100" s="641">
        <v>5.13</v>
      </c>
      <c r="B100" s="72" t="s">
        <v>589</v>
      </c>
      <c r="C100" s="628" t="s">
        <v>36</v>
      </c>
      <c r="D100" s="712">
        <v>49.11</v>
      </c>
      <c r="E100" s="707">
        <v>132.373244</v>
      </c>
      <c r="F100" s="707">
        <f t="shared" si="17"/>
        <v>6500.8500128400001</v>
      </c>
      <c r="G100" s="708"/>
      <c r="H100" s="708"/>
      <c r="I100" s="714"/>
      <c r="J100" s="715"/>
      <c r="K100" s="711"/>
      <c r="L100" s="568"/>
      <c r="M100" s="568"/>
    </row>
    <row r="101" spans="1:14" ht="48">
      <c r="A101" s="641">
        <v>5.14</v>
      </c>
      <c r="B101" s="72" t="s">
        <v>590</v>
      </c>
      <c r="C101" s="628" t="s">
        <v>36</v>
      </c>
      <c r="D101" s="712">
        <v>9.2799999999999994</v>
      </c>
      <c r="E101" s="707">
        <v>200.60668100000001</v>
      </c>
      <c r="F101" s="707">
        <f t="shared" si="17"/>
        <v>1861.6299996799999</v>
      </c>
      <c r="G101" s="708"/>
      <c r="H101" s="708"/>
      <c r="I101" s="714"/>
      <c r="J101" s="715"/>
      <c r="K101" s="711"/>
      <c r="L101" s="568"/>
      <c r="M101" s="568"/>
      <c r="N101" t="s">
        <v>161</v>
      </c>
    </row>
    <row r="102" spans="1:14">
      <c r="A102" s="641"/>
      <c r="B102" s="372" t="s">
        <v>33</v>
      </c>
      <c r="C102" s="722"/>
      <c r="D102" s="723"/>
      <c r="E102" s="724"/>
      <c r="F102" s="724">
        <f>SUM(F98:F101)</f>
        <v>25337.745723560001</v>
      </c>
      <c r="G102" s="708"/>
      <c r="H102" s="708"/>
      <c r="I102" s="714"/>
      <c r="J102" s="715"/>
      <c r="K102" s="711"/>
      <c r="L102" s="568"/>
      <c r="M102" s="568"/>
    </row>
    <row r="103" spans="1:14">
      <c r="A103" s="725" t="s">
        <v>632</v>
      </c>
      <c r="B103" s="372" t="s">
        <v>633</v>
      </c>
      <c r="C103" s="628"/>
      <c r="D103" s="712"/>
      <c r="E103" s="707"/>
      <c r="F103" s="707"/>
      <c r="G103" s="708"/>
      <c r="H103" s="708"/>
      <c r="I103" s="714"/>
      <c r="J103" s="715"/>
      <c r="K103" s="711"/>
      <c r="L103" s="568"/>
      <c r="M103" s="568"/>
    </row>
    <row r="104" spans="1:14">
      <c r="A104" s="641">
        <v>1</v>
      </c>
      <c r="B104" s="72" t="s">
        <v>634</v>
      </c>
      <c r="C104" s="628"/>
      <c r="D104" s="712"/>
      <c r="E104" s="707"/>
      <c r="F104" s="707"/>
      <c r="G104" s="708"/>
      <c r="H104" s="708"/>
      <c r="I104" s="714"/>
      <c r="J104" s="715"/>
      <c r="K104" s="711"/>
      <c r="L104" s="568"/>
      <c r="M104" s="568"/>
    </row>
    <row r="105" spans="1:14" ht="60">
      <c r="A105" s="641">
        <v>1.01</v>
      </c>
      <c r="B105" s="72" t="s">
        <v>635</v>
      </c>
      <c r="C105" s="628" t="s">
        <v>32</v>
      </c>
      <c r="D105" s="712">
        <v>1</v>
      </c>
      <c r="E105" s="707">
        <v>321812.17</v>
      </c>
      <c r="F105" s="707">
        <f t="shared" si="17"/>
        <v>321812.17</v>
      </c>
      <c r="G105" s="708"/>
      <c r="H105" s="708"/>
      <c r="I105" s="714"/>
      <c r="J105" s="715"/>
      <c r="K105" s="711"/>
      <c r="L105" s="568"/>
      <c r="M105" s="568"/>
    </row>
    <row r="106" spans="1:14">
      <c r="A106" s="641">
        <v>1.02</v>
      </c>
      <c r="B106" s="72" t="s">
        <v>636</v>
      </c>
      <c r="C106" s="628" t="s">
        <v>36</v>
      </c>
      <c r="D106" s="712">
        <v>26.4</v>
      </c>
      <c r="E106" s="707">
        <v>258.15681799999999</v>
      </c>
      <c r="F106" s="707">
        <f t="shared" si="17"/>
        <v>6815.3399951999991</v>
      </c>
      <c r="G106" s="708"/>
      <c r="H106" s="708"/>
      <c r="I106" s="714"/>
      <c r="J106" s="715"/>
      <c r="K106" s="711"/>
      <c r="L106" s="568"/>
      <c r="M106" s="568"/>
    </row>
    <row r="107" spans="1:14">
      <c r="A107" s="641">
        <v>1.03</v>
      </c>
      <c r="B107" s="72" t="s">
        <v>637</v>
      </c>
      <c r="C107" s="628" t="s">
        <v>36</v>
      </c>
      <c r="D107" s="712">
        <v>1.7</v>
      </c>
      <c r="E107" s="707">
        <f>2185.92/D107</f>
        <v>1285.8352941176472</v>
      </c>
      <c r="F107" s="707">
        <f t="shared" si="17"/>
        <v>2185.92</v>
      </c>
      <c r="G107" s="708"/>
      <c r="H107" s="708"/>
      <c r="I107" s="714"/>
      <c r="J107" s="715"/>
      <c r="K107" s="711"/>
      <c r="L107" s="568"/>
      <c r="M107" s="568"/>
    </row>
    <row r="108" spans="1:14">
      <c r="A108" s="641">
        <v>1.04</v>
      </c>
      <c r="B108" s="72" t="s">
        <v>39</v>
      </c>
      <c r="C108" s="628" t="s">
        <v>36</v>
      </c>
      <c r="D108" s="712">
        <v>2.21</v>
      </c>
      <c r="E108" s="707">
        <v>200.606335</v>
      </c>
      <c r="F108" s="707">
        <f t="shared" si="17"/>
        <v>443.34000034999997</v>
      </c>
      <c r="G108" s="708"/>
      <c r="H108" s="708"/>
      <c r="I108" s="714"/>
      <c r="J108" s="715"/>
      <c r="K108" s="711"/>
      <c r="L108" s="568"/>
      <c r="M108" s="568"/>
    </row>
    <row r="109" spans="1:14" ht="24">
      <c r="A109" s="641">
        <v>1.05</v>
      </c>
      <c r="B109" s="72" t="s">
        <v>407</v>
      </c>
      <c r="C109" s="628" t="s">
        <v>36</v>
      </c>
      <c r="D109" s="712">
        <v>23.47</v>
      </c>
      <c r="E109" s="707">
        <v>132.34512100000001</v>
      </c>
      <c r="F109" s="707">
        <f t="shared" si="17"/>
        <v>3106.1399898700001</v>
      </c>
      <c r="G109" s="708"/>
      <c r="H109" s="708"/>
      <c r="I109" s="714"/>
      <c r="J109" s="715"/>
      <c r="K109" s="711"/>
      <c r="L109" s="568"/>
      <c r="M109" s="568"/>
    </row>
    <row r="110" spans="1:14">
      <c r="A110" s="641"/>
      <c r="B110" s="372" t="s">
        <v>33</v>
      </c>
      <c r="C110" s="722"/>
      <c r="D110" s="723"/>
      <c r="E110" s="724"/>
      <c r="F110" s="724">
        <f>SUM(F105:F109)</f>
        <v>334362.90998542</v>
      </c>
      <c r="G110" s="708"/>
      <c r="H110" s="708"/>
      <c r="I110" s="714"/>
      <c r="J110" s="715"/>
      <c r="K110" s="711"/>
      <c r="L110" s="568"/>
      <c r="M110" s="568"/>
    </row>
    <row r="111" spans="1:14" ht="24">
      <c r="A111" s="725" t="s">
        <v>638</v>
      </c>
      <c r="B111" s="372" t="s">
        <v>639</v>
      </c>
      <c r="C111" s="628"/>
      <c r="D111" s="712"/>
      <c r="E111" s="707"/>
      <c r="F111" s="707"/>
      <c r="G111" s="708"/>
      <c r="H111" s="708"/>
      <c r="I111" s="714"/>
      <c r="J111" s="715"/>
      <c r="K111" s="711"/>
      <c r="L111" s="568"/>
      <c r="M111" s="568"/>
    </row>
    <row r="112" spans="1:14" ht="24">
      <c r="A112" s="611">
        <v>1</v>
      </c>
      <c r="B112" s="72" t="s">
        <v>640</v>
      </c>
      <c r="C112" s="732" t="s">
        <v>20</v>
      </c>
      <c r="D112" s="735">
        <v>16</v>
      </c>
      <c r="E112" s="734">
        <v>3343.41563</v>
      </c>
      <c r="F112" s="707">
        <f t="shared" si="17"/>
        <v>53494.650079999999</v>
      </c>
      <c r="G112" s="708"/>
      <c r="H112" s="708"/>
      <c r="I112" s="714"/>
      <c r="J112" s="715"/>
      <c r="K112" s="711"/>
      <c r="L112" s="568"/>
      <c r="M112" s="568"/>
    </row>
    <row r="113" spans="1:13" ht="24">
      <c r="A113" s="611">
        <v>2</v>
      </c>
      <c r="B113" s="72" t="s">
        <v>641</v>
      </c>
      <c r="C113" s="732" t="s">
        <v>20</v>
      </c>
      <c r="D113" s="712">
        <v>8</v>
      </c>
      <c r="E113" s="707">
        <v>4326.1075000000001</v>
      </c>
      <c r="F113" s="707">
        <f t="shared" si="17"/>
        <v>34608.86</v>
      </c>
      <c r="G113" s="708"/>
      <c r="H113" s="708"/>
      <c r="I113" s="714"/>
      <c r="J113" s="715"/>
      <c r="K113" s="711"/>
      <c r="L113" s="568"/>
      <c r="M113" s="568"/>
    </row>
    <row r="114" spans="1:13" ht="24">
      <c r="A114" s="641">
        <v>3</v>
      </c>
      <c r="B114" s="72" t="s">
        <v>642</v>
      </c>
      <c r="C114" s="732" t="s">
        <v>20</v>
      </c>
      <c r="D114" s="712">
        <v>20</v>
      </c>
      <c r="E114" s="707">
        <v>6435.8085000000001</v>
      </c>
      <c r="F114" s="707">
        <f t="shared" si="17"/>
        <v>128716.17</v>
      </c>
      <c r="G114" s="708"/>
      <c r="H114" s="708"/>
      <c r="I114" s="714"/>
      <c r="J114" s="715"/>
      <c r="K114" s="711"/>
      <c r="L114" s="568"/>
      <c r="M114" s="568"/>
    </row>
    <row r="115" spans="1:13" ht="24">
      <c r="A115" s="641">
        <v>4</v>
      </c>
      <c r="B115" s="72" t="s">
        <v>643</v>
      </c>
      <c r="C115" s="732" t="s">
        <v>20</v>
      </c>
      <c r="D115" s="712">
        <v>12</v>
      </c>
      <c r="E115" s="707">
        <v>9589.5891699999993</v>
      </c>
      <c r="F115" s="707">
        <f t="shared" si="17"/>
        <v>115075.07003999999</v>
      </c>
      <c r="G115" s="708"/>
      <c r="H115" s="708"/>
      <c r="I115" s="714"/>
      <c r="J115" s="715"/>
      <c r="K115" s="711"/>
      <c r="L115" s="568"/>
      <c r="M115" s="568"/>
    </row>
    <row r="116" spans="1:13" ht="36">
      <c r="A116" s="641">
        <v>5</v>
      </c>
      <c r="B116" s="72" t="s">
        <v>644</v>
      </c>
      <c r="C116" s="732" t="s">
        <v>20</v>
      </c>
      <c r="D116" s="712">
        <v>4</v>
      </c>
      <c r="E116" s="707">
        <v>57772.292500000003</v>
      </c>
      <c r="F116" s="707">
        <f t="shared" si="17"/>
        <v>231089.17</v>
      </c>
      <c r="G116" s="708"/>
      <c r="H116" s="708"/>
      <c r="I116" s="714"/>
      <c r="J116" s="715"/>
      <c r="K116" s="711"/>
      <c r="L116" s="568"/>
      <c r="M116" s="568"/>
    </row>
    <row r="117" spans="1:13" ht="36">
      <c r="A117" s="641">
        <v>6</v>
      </c>
      <c r="B117" s="72" t="s">
        <v>645</v>
      </c>
      <c r="C117" s="732" t="s">
        <v>20</v>
      </c>
      <c r="D117" s="712">
        <v>4</v>
      </c>
      <c r="E117" s="707">
        <v>31752.3675</v>
      </c>
      <c r="F117" s="707">
        <f t="shared" si="17"/>
        <v>127009.47</v>
      </c>
      <c r="G117" s="708"/>
      <c r="H117" s="708"/>
      <c r="I117" s="714"/>
      <c r="J117" s="715"/>
      <c r="K117" s="711"/>
      <c r="L117" s="568"/>
      <c r="M117" s="568"/>
    </row>
    <row r="118" spans="1:13" ht="72">
      <c r="A118" s="641">
        <v>7</v>
      </c>
      <c r="B118" s="72" t="s">
        <v>646</v>
      </c>
      <c r="C118" s="732" t="s">
        <v>20</v>
      </c>
      <c r="D118" s="712">
        <v>1</v>
      </c>
      <c r="E118" s="707">
        <v>389670.47</v>
      </c>
      <c r="F118" s="707">
        <f t="shared" si="17"/>
        <v>389670.47</v>
      </c>
      <c r="G118" s="708"/>
      <c r="H118" s="708"/>
      <c r="I118" s="714"/>
      <c r="J118" s="715"/>
      <c r="K118" s="711"/>
      <c r="L118" s="568"/>
      <c r="M118" s="568"/>
    </row>
    <row r="119" spans="1:13">
      <c r="A119" s="641">
        <v>8</v>
      </c>
      <c r="B119" s="72" t="s">
        <v>647</v>
      </c>
      <c r="C119" s="732" t="s">
        <v>20</v>
      </c>
      <c r="D119" s="712">
        <v>48</v>
      </c>
      <c r="E119" s="707">
        <v>1826.4456299999999</v>
      </c>
      <c r="F119" s="707">
        <f t="shared" si="17"/>
        <v>87669.390239999993</v>
      </c>
      <c r="G119" s="708"/>
      <c r="H119" s="708"/>
      <c r="I119" s="714"/>
      <c r="J119" s="715"/>
      <c r="K119" s="711"/>
      <c r="L119" s="568"/>
      <c r="M119" s="568"/>
    </row>
    <row r="120" spans="1:13">
      <c r="A120" s="641">
        <v>9</v>
      </c>
      <c r="B120" s="72" t="s">
        <v>648</v>
      </c>
      <c r="C120" s="732" t="s">
        <v>20</v>
      </c>
      <c r="D120" s="712">
        <v>64</v>
      </c>
      <c r="E120" s="707">
        <v>2756.0495299999998</v>
      </c>
      <c r="F120" s="707">
        <f t="shared" si="17"/>
        <v>176387.16991999999</v>
      </c>
      <c r="G120" s="708"/>
      <c r="H120" s="708"/>
      <c r="I120" s="714"/>
      <c r="J120" s="715"/>
      <c r="K120" s="711"/>
      <c r="L120" s="568"/>
      <c r="M120" s="568"/>
    </row>
    <row r="121" spans="1:13">
      <c r="A121" s="641"/>
      <c r="B121" s="372" t="s">
        <v>33</v>
      </c>
      <c r="C121" s="736"/>
      <c r="D121" s="723"/>
      <c r="E121" s="724"/>
      <c r="F121" s="724">
        <f>SUM(F112:F120)</f>
        <v>1343720.42028</v>
      </c>
      <c r="G121" s="708"/>
      <c r="H121" s="708"/>
      <c r="I121" s="714"/>
      <c r="J121" s="715"/>
      <c r="K121" s="711"/>
      <c r="L121" s="568"/>
      <c r="M121" s="568"/>
    </row>
    <row r="122" spans="1:13">
      <c r="A122" s="725" t="s">
        <v>649</v>
      </c>
      <c r="B122" s="372" t="s">
        <v>650</v>
      </c>
      <c r="C122" s="732"/>
      <c r="D122" s="712"/>
      <c r="E122" s="707"/>
      <c r="F122" s="707"/>
      <c r="G122" s="708"/>
      <c r="H122" s="708"/>
      <c r="I122" s="714"/>
      <c r="J122" s="715"/>
      <c r="K122" s="711"/>
      <c r="L122" s="568"/>
      <c r="M122" s="568"/>
    </row>
    <row r="123" spans="1:13" ht="72">
      <c r="A123" s="611">
        <v>1</v>
      </c>
      <c r="B123" s="72" t="s">
        <v>651</v>
      </c>
      <c r="C123" s="732" t="s">
        <v>20</v>
      </c>
      <c r="D123" s="712">
        <v>1</v>
      </c>
      <c r="E123" s="707">
        <v>491973.76</v>
      </c>
      <c r="F123" s="707">
        <f t="shared" si="17"/>
        <v>491973.76</v>
      </c>
      <c r="G123" s="708"/>
      <c r="H123" s="708"/>
      <c r="I123" s="714"/>
      <c r="J123" s="715"/>
      <c r="K123" s="711"/>
      <c r="L123" s="568"/>
      <c r="M123" s="568"/>
    </row>
    <row r="124" spans="1:13" ht="48">
      <c r="A124" s="641">
        <v>2</v>
      </c>
      <c r="B124" s="72" t="s">
        <v>652</v>
      </c>
      <c r="C124" s="732" t="s">
        <v>20</v>
      </c>
      <c r="D124" s="712">
        <v>1</v>
      </c>
      <c r="E124" s="707">
        <v>45733.62</v>
      </c>
      <c r="F124" s="707">
        <f t="shared" si="17"/>
        <v>45733.62</v>
      </c>
      <c r="G124" s="708"/>
      <c r="H124" s="708"/>
      <c r="I124" s="714"/>
      <c r="J124" s="715"/>
      <c r="K124" s="711"/>
      <c r="L124" s="568"/>
      <c r="M124" s="568"/>
    </row>
    <row r="125" spans="1:13" ht="60">
      <c r="A125" s="641">
        <v>3</v>
      </c>
      <c r="B125" s="72" t="s">
        <v>653</v>
      </c>
      <c r="C125" s="732" t="s">
        <v>20</v>
      </c>
      <c r="D125" s="712">
        <v>1</v>
      </c>
      <c r="E125" s="707">
        <v>41924.949999999997</v>
      </c>
      <c r="F125" s="707">
        <f t="shared" si="17"/>
        <v>41924.949999999997</v>
      </c>
      <c r="G125" s="708"/>
      <c r="H125" s="708"/>
      <c r="I125" s="714"/>
      <c r="J125" s="715"/>
      <c r="K125" s="711"/>
      <c r="L125" s="568"/>
      <c r="M125" s="568"/>
    </row>
    <row r="126" spans="1:13" ht="36">
      <c r="A126" s="641">
        <v>4</v>
      </c>
      <c r="B126" s="72" t="s">
        <v>654</v>
      </c>
      <c r="C126" s="732" t="s">
        <v>20</v>
      </c>
      <c r="D126" s="712">
        <v>1</v>
      </c>
      <c r="E126" s="707">
        <v>15710.07</v>
      </c>
      <c r="F126" s="707">
        <f t="shared" si="17"/>
        <v>15710.07</v>
      </c>
      <c r="G126" s="708"/>
      <c r="H126" s="708"/>
      <c r="I126" s="714"/>
      <c r="J126" s="715"/>
      <c r="K126" s="711"/>
      <c r="L126" s="568"/>
      <c r="M126" s="568"/>
    </row>
    <row r="127" spans="1:13" ht="48">
      <c r="A127" s="611">
        <v>5</v>
      </c>
      <c r="B127" s="72" t="s">
        <v>655</v>
      </c>
      <c r="C127" s="732" t="s">
        <v>20</v>
      </c>
      <c r="D127" s="735">
        <v>1</v>
      </c>
      <c r="E127" s="734">
        <v>7767.63</v>
      </c>
      <c r="F127" s="707">
        <f t="shared" si="17"/>
        <v>7767.63</v>
      </c>
      <c r="G127" s="708"/>
      <c r="H127" s="708"/>
      <c r="I127" s="714"/>
      <c r="J127" s="715"/>
      <c r="K127" s="711"/>
      <c r="L127" s="568"/>
      <c r="M127" s="568"/>
    </row>
    <row r="128" spans="1:13" ht="24">
      <c r="A128" s="611">
        <v>6</v>
      </c>
      <c r="B128" s="72" t="s">
        <v>656</v>
      </c>
      <c r="C128" s="732" t="s">
        <v>20</v>
      </c>
      <c r="D128" s="712">
        <v>1</v>
      </c>
      <c r="E128" s="707">
        <v>2005.2</v>
      </c>
      <c r="F128" s="707">
        <f t="shared" si="17"/>
        <v>2005.2</v>
      </c>
      <c r="G128" s="708"/>
      <c r="H128" s="708"/>
      <c r="I128" s="714"/>
      <c r="J128" s="715"/>
      <c r="K128" s="711"/>
      <c r="L128" s="568"/>
      <c r="M128" s="568"/>
    </row>
    <row r="129" spans="1:13" ht="36">
      <c r="A129" s="641">
        <v>7</v>
      </c>
      <c r="B129" s="72" t="s">
        <v>657</v>
      </c>
      <c r="C129" s="628" t="s">
        <v>30</v>
      </c>
      <c r="D129" s="712">
        <v>16</v>
      </c>
      <c r="E129" s="707">
        <v>3780</v>
      </c>
      <c r="F129" s="707">
        <f t="shared" si="17"/>
        <v>60480</v>
      </c>
      <c r="G129" s="708"/>
      <c r="H129" s="708"/>
      <c r="I129" s="714"/>
      <c r="J129" s="715"/>
      <c r="K129" s="711"/>
      <c r="L129" s="568"/>
      <c r="M129" s="568"/>
    </row>
    <row r="130" spans="1:13">
      <c r="A130" s="641"/>
      <c r="B130" s="372" t="s">
        <v>33</v>
      </c>
      <c r="C130" s="624"/>
      <c r="D130" s="723"/>
      <c r="E130" s="724"/>
      <c r="F130" s="724">
        <f>SUM(F123:F129)</f>
        <v>665595.22999999986</v>
      </c>
      <c r="G130" s="708"/>
      <c r="H130" s="708"/>
      <c r="I130" s="714"/>
      <c r="J130" s="715"/>
      <c r="K130" s="711"/>
      <c r="L130" s="568"/>
      <c r="M130" s="568"/>
    </row>
    <row r="131" spans="1:13">
      <c r="A131" s="641" t="s">
        <v>658</v>
      </c>
      <c r="B131" s="372" t="s">
        <v>659</v>
      </c>
      <c r="C131" s="621"/>
      <c r="D131" s="712"/>
      <c r="E131" s="707"/>
      <c r="F131" s="707"/>
      <c r="G131" s="708"/>
      <c r="H131" s="708"/>
      <c r="I131" s="714"/>
      <c r="J131" s="715"/>
      <c r="K131" s="711"/>
      <c r="L131" s="568"/>
      <c r="M131" s="568"/>
    </row>
    <row r="132" spans="1:13" ht="72">
      <c r="A132" s="725">
        <v>1</v>
      </c>
      <c r="B132" s="72" t="s">
        <v>651</v>
      </c>
      <c r="C132" s="732" t="s">
        <v>20</v>
      </c>
      <c r="D132" s="735">
        <v>1</v>
      </c>
      <c r="E132" s="734">
        <v>491973.76</v>
      </c>
      <c r="F132" s="734">
        <f t="shared" si="17"/>
        <v>491973.76</v>
      </c>
      <c r="G132" s="737"/>
      <c r="H132" s="737"/>
      <c r="I132" s="738"/>
      <c r="J132" s="739"/>
      <c r="K132" s="711"/>
      <c r="L132" s="568"/>
      <c r="M132" s="568"/>
    </row>
    <row r="133" spans="1:13" ht="48">
      <c r="A133" s="641">
        <v>2</v>
      </c>
      <c r="B133" s="72" t="s">
        <v>652</v>
      </c>
      <c r="C133" s="732" t="s">
        <v>20</v>
      </c>
      <c r="D133" s="735">
        <v>1</v>
      </c>
      <c r="E133" s="734">
        <v>45733.62</v>
      </c>
      <c r="F133" s="734">
        <f t="shared" si="17"/>
        <v>45733.62</v>
      </c>
      <c r="G133" s="708"/>
      <c r="H133" s="708"/>
      <c r="I133" s="714"/>
      <c r="J133" s="715"/>
      <c r="K133" s="711"/>
      <c r="L133" s="568"/>
      <c r="M133" s="568"/>
    </row>
    <row r="134" spans="1:13" ht="60">
      <c r="A134" s="641">
        <v>3</v>
      </c>
      <c r="B134" s="72" t="s">
        <v>653</v>
      </c>
      <c r="C134" s="732" t="s">
        <v>20</v>
      </c>
      <c r="D134" s="735">
        <v>1</v>
      </c>
      <c r="E134" s="734">
        <v>41924.949999999997</v>
      </c>
      <c r="F134" s="734">
        <f t="shared" si="17"/>
        <v>41924.949999999997</v>
      </c>
      <c r="G134" s="708"/>
      <c r="H134" s="708"/>
      <c r="I134" s="714"/>
      <c r="J134" s="715"/>
      <c r="K134" s="711"/>
      <c r="L134" s="568"/>
      <c r="M134" s="568"/>
    </row>
    <row r="135" spans="1:13" ht="36">
      <c r="A135" s="641">
        <v>4</v>
      </c>
      <c r="B135" s="72" t="s">
        <v>660</v>
      </c>
      <c r="C135" s="732" t="s">
        <v>20</v>
      </c>
      <c r="D135" s="735">
        <v>1</v>
      </c>
      <c r="E135" s="734">
        <v>15710.07</v>
      </c>
      <c r="F135" s="734">
        <f t="shared" si="17"/>
        <v>15710.07</v>
      </c>
      <c r="G135" s="708"/>
      <c r="H135" s="708"/>
      <c r="I135" s="714"/>
      <c r="J135" s="715"/>
      <c r="K135" s="711"/>
      <c r="L135" s="568"/>
      <c r="M135" s="568"/>
    </row>
    <row r="136" spans="1:13" ht="48">
      <c r="A136" s="725">
        <v>5</v>
      </c>
      <c r="B136" s="72" t="s">
        <v>655</v>
      </c>
      <c r="C136" s="732" t="s">
        <v>20</v>
      </c>
      <c r="D136" s="735">
        <v>1</v>
      </c>
      <c r="E136" s="734">
        <v>7767.63</v>
      </c>
      <c r="F136" s="734">
        <f t="shared" si="17"/>
        <v>7767.63</v>
      </c>
      <c r="G136" s="708"/>
      <c r="H136" s="708"/>
      <c r="I136" s="714"/>
      <c r="J136" s="715"/>
      <c r="K136" s="711"/>
      <c r="L136" s="568"/>
      <c r="M136" s="568"/>
    </row>
    <row r="137" spans="1:13" ht="24">
      <c r="A137" s="641">
        <v>6</v>
      </c>
      <c r="B137" s="72" t="s">
        <v>656</v>
      </c>
      <c r="C137" s="628" t="s">
        <v>20</v>
      </c>
      <c r="D137" s="712">
        <v>1</v>
      </c>
      <c r="E137" s="707">
        <v>2005.2</v>
      </c>
      <c r="F137" s="707">
        <f t="shared" si="17"/>
        <v>2005.2</v>
      </c>
      <c r="G137" s="708"/>
      <c r="H137" s="708"/>
      <c r="I137" s="714"/>
      <c r="J137" s="715"/>
      <c r="K137" s="711"/>
      <c r="L137" s="568"/>
      <c r="M137" s="568"/>
    </row>
    <row r="138" spans="1:13" ht="36">
      <c r="A138" s="641">
        <v>7</v>
      </c>
      <c r="B138" s="72" t="s">
        <v>657</v>
      </c>
      <c r="C138" s="628" t="s">
        <v>30</v>
      </c>
      <c r="D138" s="712">
        <v>16</v>
      </c>
      <c r="E138" s="707">
        <v>3780</v>
      </c>
      <c r="F138" s="707">
        <f t="shared" si="17"/>
        <v>60480</v>
      </c>
      <c r="G138" s="708"/>
      <c r="H138" s="708"/>
      <c r="I138" s="714"/>
      <c r="J138" s="715"/>
      <c r="K138" s="711"/>
      <c r="L138" s="568"/>
      <c r="M138" s="568"/>
    </row>
    <row r="139" spans="1:13">
      <c r="A139" s="641"/>
      <c r="B139" s="372" t="s">
        <v>33</v>
      </c>
      <c r="C139" s="722"/>
      <c r="D139" s="723"/>
      <c r="E139" s="724"/>
      <c r="F139" s="724">
        <f>SUM(F132:F138)</f>
        <v>665595.22999999986</v>
      </c>
      <c r="G139" s="708"/>
      <c r="H139" s="708"/>
      <c r="I139" s="714"/>
      <c r="J139" s="715"/>
      <c r="K139" s="711"/>
      <c r="L139" s="568"/>
      <c r="M139" s="568"/>
    </row>
    <row r="140" spans="1:13">
      <c r="A140" s="641" t="s">
        <v>661</v>
      </c>
      <c r="B140" s="372" t="s">
        <v>449</v>
      </c>
      <c r="C140" s="628"/>
      <c r="D140" s="712"/>
      <c r="E140" s="707"/>
      <c r="F140" s="707"/>
      <c r="G140" s="708"/>
      <c r="H140" s="708"/>
      <c r="I140" s="714"/>
      <c r="J140" s="715"/>
      <c r="K140" s="711"/>
      <c r="L140" s="568"/>
      <c r="M140" s="568"/>
    </row>
    <row r="141" spans="1:13">
      <c r="A141" s="641">
        <v>1</v>
      </c>
      <c r="B141" s="72" t="s">
        <v>449</v>
      </c>
      <c r="C141" s="628" t="s">
        <v>32</v>
      </c>
      <c r="D141" s="712">
        <v>1</v>
      </c>
      <c r="E141" s="707">
        <v>1200000</v>
      </c>
      <c r="F141" s="707">
        <f>D141*E141</f>
        <v>1200000</v>
      </c>
      <c r="G141" s="708"/>
      <c r="H141" s="708"/>
      <c r="I141" s="714"/>
      <c r="J141" s="715"/>
      <c r="K141" s="711"/>
      <c r="L141" s="568"/>
      <c r="M141" s="568"/>
    </row>
    <row r="142" spans="1:13">
      <c r="A142" s="611"/>
      <c r="B142" s="372" t="s">
        <v>33</v>
      </c>
      <c r="C142" s="624"/>
      <c r="D142" s="723"/>
      <c r="E142" s="724"/>
      <c r="F142" s="724">
        <f>F141</f>
        <v>1200000</v>
      </c>
      <c r="G142" s="708"/>
      <c r="H142" s="708"/>
      <c r="I142" s="714"/>
      <c r="J142" s="715"/>
      <c r="K142" s="711"/>
      <c r="L142" s="568"/>
      <c r="M142" s="568"/>
    </row>
    <row r="143" spans="1:13">
      <c r="A143" s="740"/>
      <c r="B143" s="741" t="s">
        <v>374</v>
      </c>
      <c r="C143" s="742"/>
      <c r="D143" s="743"/>
      <c r="E143" s="744"/>
      <c r="F143" s="745">
        <f>F142+F139+F130+F121+F110+F102+F96+F74+F66+F54+F49+F44+F41+F35+F29+F25+F19-0.019</f>
        <v>24223599.790570319</v>
      </c>
      <c r="G143" s="746"/>
      <c r="H143" s="747"/>
      <c r="I143" s="748"/>
      <c r="J143" s="749"/>
      <c r="K143" s="750">
        <f>K41+K35+K25+K19+K15</f>
        <v>7482294.2583843991</v>
      </c>
      <c r="L143" s="750">
        <f>L25+L19+L15+L44+L29</f>
        <v>601825.14530917618</v>
      </c>
      <c r="M143" s="751">
        <f>K143+L143</f>
        <v>8084119.4036935754</v>
      </c>
    </row>
    <row r="144" spans="1:13">
      <c r="A144" s="752"/>
      <c r="B144" s="422"/>
      <c r="C144" s="753"/>
      <c r="D144" s="754"/>
      <c r="E144" s="755"/>
      <c r="F144" s="755"/>
      <c r="G144" s="756"/>
      <c r="H144" s="756"/>
      <c r="I144" s="753"/>
      <c r="J144" s="753"/>
      <c r="K144" s="757"/>
      <c r="L144" s="757"/>
      <c r="M144" s="757"/>
    </row>
    <row r="145" spans="1:14">
      <c r="A145" s="752"/>
      <c r="B145" s="1222" t="s">
        <v>662</v>
      </c>
      <c r="C145" s="1222"/>
      <c r="D145" s="1222"/>
      <c r="E145" s="1222"/>
      <c r="F145" s="1222"/>
      <c r="G145" s="1222"/>
      <c r="H145" s="1222"/>
      <c r="I145" s="1222"/>
      <c r="J145" s="1222"/>
      <c r="K145" s="1222"/>
      <c r="L145" s="1222"/>
      <c r="M145" s="1222"/>
      <c r="N145" s="1222"/>
    </row>
    <row r="146" spans="1:14">
      <c r="A146" s="758" t="s">
        <v>18</v>
      </c>
      <c r="B146" s="759" t="s">
        <v>19</v>
      </c>
      <c r="C146" s="759" t="s">
        <v>20</v>
      </c>
      <c r="D146" s="759" t="s">
        <v>21</v>
      </c>
      <c r="E146" s="760" t="s">
        <v>22</v>
      </c>
      <c r="F146" s="760" t="s">
        <v>23</v>
      </c>
      <c r="G146" s="761" t="s">
        <v>24</v>
      </c>
      <c r="H146" s="761" t="s">
        <v>25</v>
      </c>
      <c r="I146" s="762" t="s">
        <v>26</v>
      </c>
      <c r="J146" s="763" t="s">
        <v>27</v>
      </c>
      <c r="K146" s="764" t="s">
        <v>24</v>
      </c>
      <c r="L146" s="765" t="s">
        <v>25</v>
      </c>
      <c r="M146" s="765" t="s">
        <v>26</v>
      </c>
    </row>
    <row r="147" spans="1:14">
      <c r="A147" s="758"/>
      <c r="B147" s="759" t="s">
        <v>581</v>
      </c>
      <c r="C147" s="759"/>
      <c r="D147" s="759"/>
      <c r="E147" s="760"/>
      <c r="F147" s="760"/>
      <c r="G147" s="761"/>
      <c r="H147" s="761"/>
      <c r="I147" s="762"/>
      <c r="J147" s="763"/>
      <c r="K147" s="764"/>
      <c r="L147" s="765"/>
      <c r="M147" s="765"/>
    </row>
    <row r="148" spans="1:14">
      <c r="A148" s="659">
        <v>1</v>
      </c>
      <c r="B148" s="382" t="s">
        <v>40</v>
      </c>
      <c r="C148" s="621"/>
      <c r="D148" s="712"/>
      <c r="E148" s="707"/>
      <c r="F148" s="707"/>
      <c r="G148" s="708"/>
      <c r="H148" s="708"/>
      <c r="I148" s="714"/>
      <c r="J148" s="729"/>
      <c r="K148" s="711"/>
      <c r="L148" s="568"/>
      <c r="M148" s="568"/>
    </row>
    <row r="149" spans="1:14" ht="24.75">
      <c r="A149" s="643">
        <f>A148+0.01</f>
        <v>1.01</v>
      </c>
      <c r="B149" s="66" t="s">
        <v>582</v>
      </c>
      <c r="C149" s="628" t="s">
        <v>30</v>
      </c>
      <c r="D149" s="712">
        <v>556</v>
      </c>
      <c r="E149" s="707">
        <v>5766.77</v>
      </c>
      <c r="F149" s="707">
        <f t="shared" ref="F149:F150" si="18">D149*E149</f>
        <v>3206324.12</v>
      </c>
      <c r="G149" s="708">
        <v>556</v>
      </c>
      <c r="H149" s="708"/>
      <c r="I149" s="714">
        <f t="shared" ref="I149" si="19">SUM(G149+H149)</f>
        <v>556</v>
      </c>
      <c r="J149" s="715">
        <f t="shared" ref="J149:J150" si="20">I149/D149</f>
        <v>1</v>
      </c>
      <c r="K149" s="568">
        <f>G149*E149</f>
        <v>3206324.12</v>
      </c>
      <c r="L149" s="568">
        <f>H149*E149</f>
        <v>0</v>
      </c>
      <c r="M149" s="568">
        <f>K149+L149</f>
        <v>3206324.12</v>
      </c>
    </row>
    <row r="150" spans="1:14">
      <c r="A150" s="643">
        <f>A149+0.01</f>
        <v>1.02</v>
      </c>
      <c r="B150" s="24" t="s">
        <v>576</v>
      </c>
      <c r="C150" s="628" t="s">
        <v>36</v>
      </c>
      <c r="D150" s="712">
        <v>33.54</v>
      </c>
      <c r="E150" s="707">
        <f>86070.4/D150</f>
        <v>2566.2015503875969</v>
      </c>
      <c r="F150" s="707">
        <f t="shared" si="18"/>
        <v>86070.399999999994</v>
      </c>
      <c r="G150" s="708">
        <v>33.54</v>
      </c>
      <c r="H150" s="708"/>
      <c r="I150" s="714">
        <f>SUM(G150+H150)</f>
        <v>33.54</v>
      </c>
      <c r="J150" s="715">
        <f t="shared" si="20"/>
        <v>1</v>
      </c>
      <c r="K150" s="568">
        <f>G150*E150</f>
        <v>86070.399999999994</v>
      </c>
      <c r="L150" s="568"/>
      <c r="M150" s="568"/>
    </row>
    <row r="151" spans="1:14" ht="24.75">
      <c r="A151" s="643">
        <f t="shared" ref="A151:A153" si="21">A150+0.01</f>
        <v>1.03</v>
      </c>
      <c r="B151" s="766" t="s">
        <v>663</v>
      </c>
      <c r="C151" s="767" t="s">
        <v>36</v>
      </c>
      <c r="D151" s="768">
        <v>18.225000000000001</v>
      </c>
      <c r="E151" s="707">
        <v>258.16000000000003</v>
      </c>
      <c r="F151" s="707">
        <f>D151*E151</f>
        <v>4704.9660000000013</v>
      </c>
      <c r="G151" s="708"/>
      <c r="H151" s="708"/>
      <c r="I151" s="708"/>
      <c r="J151" s="708"/>
      <c r="K151" s="568"/>
      <c r="L151" s="568"/>
      <c r="M151" s="568"/>
    </row>
    <row r="152" spans="1:14" ht="36.75">
      <c r="A152" s="643">
        <f t="shared" si="21"/>
        <v>1.04</v>
      </c>
      <c r="B152" s="769" t="s">
        <v>664</v>
      </c>
      <c r="C152" s="767" t="s">
        <v>665</v>
      </c>
      <c r="D152" s="768">
        <v>6.5</v>
      </c>
      <c r="E152" s="707">
        <v>1200</v>
      </c>
      <c r="F152" s="707">
        <f t="shared" ref="F152" si="22">D152*E152</f>
        <v>7800</v>
      </c>
      <c r="G152" s="708"/>
      <c r="H152" s="708">
        <v>18.23</v>
      </c>
      <c r="I152" s="714">
        <f t="shared" ref="I152:I154" si="23">SUM(G152+H152)</f>
        <v>18.23</v>
      </c>
      <c r="J152" s="715">
        <f>I152/D151</f>
        <v>1.0002743484224965</v>
      </c>
      <c r="K152" s="568"/>
      <c r="L152" s="568">
        <f>H152*E151</f>
        <v>4706.2568000000001</v>
      </c>
      <c r="M152" s="568">
        <f t="shared" ref="M152:M154" si="24">K152+L152</f>
        <v>4706.2568000000001</v>
      </c>
    </row>
    <row r="153" spans="1:14">
      <c r="A153" s="643">
        <f t="shared" si="21"/>
        <v>1.05</v>
      </c>
      <c r="B153" s="769"/>
      <c r="C153" s="770"/>
      <c r="D153" s="768"/>
      <c r="E153" s="707"/>
      <c r="F153" s="771"/>
      <c r="G153" s="708"/>
      <c r="H153" s="708"/>
      <c r="I153" s="714"/>
      <c r="J153" s="715"/>
      <c r="K153" s="568"/>
      <c r="L153" s="568"/>
      <c r="M153" s="568"/>
    </row>
    <row r="154" spans="1:14">
      <c r="A154" s="772"/>
      <c r="B154" s="773" t="s">
        <v>666</v>
      </c>
      <c r="C154" s="774"/>
      <c r="D154" s="45"/>
      <c r="E154" s="45"/>
      <c r="F154" s="775">
        <f>SUM(F149:F152)</f>
        <v>3304899.486</v>
      </c>
      <c r="G154" s="776"/>
      <c r="H154" s="708">
        <v>6.5</v>
      </c>
      <c r="I154" s="714">
        <f t="shared" si="23"/>
        <v>6.5</v>
      </c>
      <c r="J154" s="715">
        <f>I154/D152</f>
        <v>1</v>
      </c>
      <c r="K154" s="777"/>
      <c r="L154" s="568">
        <f>H154*E152</f>
        <v>7800</v>
      </c>
      <c r="M154" s="568">
        <f t="shared" si="24"/>
        <v>7800</v>
      </c>
    </row>
    <row r="155" spans="1:14">
      <c r="A155" s="659">
        <v>2</v>
      </c>
      <c r="B155" s="382" t="s">
        <v>40</v>
      </c>
      <c r="C155" s="621"/>
      <c r="D155" s="712"/>
      <c r="E155" s="707"/>
      <c r="F155" s="707"/>
      <c r="G155" s="708"/>
      <c r="H155" s="708"/>
      <c r="I155" s="714"/>
      <c r="J155" s="729"/>
      <c r="K155" s="711"/>
      <c r="L155" s="568"/>
      <c r="M155" s="568"/>
    </row>
    <row r="156" spans="1:14" ht="24.75">
      <c r="A156" s="643">
        <f>A155+0.01</f>
        <v>2.0099999999999998</v>
      </c>
      <c r="B156" s="66" t="s">
        <v>582</v>
      </c>
      <c r="C156" s="628" t="s">
        <v>30</v>
      </c>
      <c r="D156" s="712">
        <v>158.13</v>
      </c>
      <c r="E156" s="707">
        <v>5766.77</v>
      </c>
      <c r="F156" s="707">
        <f t="shared" ref="F156:F157" si="25">D156*E156</f>
        <v>911899.34010000003</v>
      </c>
      <c r="G156" s="708"/>
      <c r="H156" s="708">
        <v>120</v>
      </c>
      <c r="I156" s="714">
        <f t="shared" ref="I156:I157" si="26">SUM(G156+H156)</f>
        <v>120</v>
      </c>
      <c r="J156" s="715">
        <f t="shared" ref="J156:J157" si="27">I156/D156</f>
        <v>0.75886928476569915</v>
      </c>
      <c r="K156" s="568"/>
      <c r="L156" s="568">
        <f>H156*E156</f>
        <v>692012.4</v>
      </c>
      <c r="M156" s="568">
        <f>K156+L156</f>
        <v>692012.4</v>
      </c>
    </row>
    <row r="157" spans="1:14" ht="24">
      <c r="A157" s="643">
        <f>A156+0.01</f>
        <v>2.0199999999999996</v>
      </c>
      <c r="B157" s="778" t="s">
        <v>667</v>
      </c>
      <c r="C157" s="628" t="s">
        <v>32</v>
      </c>
      <c r="D157" s="712">
        <v>1</v>
      </c>
      <c r="E157" s="644">
        <v>156807.6</v>
      </c>
      <c r="F157" s="707">
        <f t="shared" si="25"/>
        <v>156807.6</v>
      </c>
      <c r="G157" s="708"/>
      <c r="H157" s="708">
        <v>1</v>
      </c>
      <c r="I157" s="714">
        <f t="shared" si="26"/>
        <v>1</v>
      </c>
      <c r="J157" s="715">
        <f t="shared" si="27"/>
        <v>1</v>
      </c>
      <c r="K157" s="568"/>
      <c r="L157" s="568">
        <f>H157*E157</f>
        <v>156807.6</v>
      </c>
      <c r="M157" s="568">
        <f>K157+L157</f>
        <v>156807.6</v>
      </c>
    </row>
    <row r="158" spans="1:14">
      <c r="A158" s="643"/>
      <c r="B158" s="372" t="s">
        <v>33</v>
      </c>
      <c r="C158" s="628"/>
      <c r="D158" s="712"/>
      <c r="E158" s="644"/>
      <c r="F158" s="724">
        <f>SUM(F156:F157)</f>
        <v>1068706.9401</v>
      </c>
      <c r="G158" s="708"/>
      <c r="H158" s="708"/>
      <c r="I158" s="714"/>
      <c r="J158" s="715"/>
      <c r="K158" s="568"/>
      <c r="L158" s="576">
        <f>SUM(L152:L157)</f>
        <v>861326.25679999997</v>
      </c>
      <c r="M158" s="576">
        <f>K158+L158</f>
        <v>861326.25679999997</v>
      </c>
    </row>
    <row r="159" spans="1:14">
      <c r="A159" s="659">
        <v>3</v>
      </c>
      <c r="B159" s="23" t="s">
        <v>668</v>
      </c>
      <c r="C159" s="621"/>
      <c r="D159" s="712"/>
      <c r="E159" s="707"/>
      <c r="F159" s="707"/>
      <c r="G159" s="708"/>
      <c r="H159" s="708"/>
      <c r="I159" s="714"/>
      <c r="J159" s="715"/>
      <c r="K159" s="568"/>
      <c r="L159" s="568"/>
      <c r="M159" s="568"/>
    </row>
    <row r="160" spans="1:14">
      <c r="A160" s="643">
        <f>A159+0.01</f>
        <v>3.01</v>
      </c>
      <c r="B160" s="778" t="s">
        <v>669</v>
      </c>
      <c r="C160" s="628" t="s">
        <v>78</v>
      </c>
      <c r="D160" s="712">
        <v>1</v>
      </c>
      <c r="E160" s="707">
        <v>30848</v>
      </c>
      <c r="F160" s="707">
        <f t="shared" ref="F160:F162" si="28">D160*E160</f>
        <v>30848</v>
      </c>
      <c r="G160" s="708"/>
      <c r="H160" s="708">
        <v>1</v>
      </c>
      <c r="I160" s="714">
        <f t="shared" ref="I160:I162" si="29">SUM(G160+H160)</f>
        <v>1</v>
      </c>
      <c r="J160" s="715">
        <f t="shared" ref="J160:J162" si="30">I160/D160</f>
        <v>1</v>
      </c>
      <c r="K160" s="568"/>
      <c r="L160" s="568">
        <f>H160*E160</f>
        <v>30848</v>
      </c>
      <c r="M160" s="568">
        <f>K160+L160</f>
        <v>30848</v>
      </c>
    </row>
    <row r="161" spans="1:13">
      <c r="A161" s="643">
        <f t="shared" ref="A161:A162" si="31">A160+0.01</f>
        <v>3.0199999999999996</v>
      </c>
      <c r="B161" s="778" t="s">
        <v>670</v>
      </c>
      <c r="C161" s="628" t="s">
        <v>671</v>
      </c>
      <c r="D161" s="712">
        <v>18</v>
      </c>
      <c r="E161" s="707">
        <v>40000</v>
      </c>
      <c r="F161" s="707">
        <f t="shared" si="28"/>
        <v>720000</v>
      </c>
      <c r="G161" s="708"/>
      <c r="H161" s="708">
        <v>7</v>
      </c>
      <c r="I161" s="714">
        <f t="shared" si="29"/>
        <v>7</v>
      </c>
      <c r="J161" s="715">
        <f t="shared" si="30"/>
        <v>0.3888888888888889</v>
      </c>
      <c r="K161" s="568"/>
      <c r="L161" s="568">
        <f>H161*E161</f>
        <v>280000</v>
      </c>
      <c r="M161" s="568">
        <f>K161+L161</f>
        <v>280000</v>
      </c>
    </row>
    <row r="162" spans="1:13">
      <c r="A162" s="643">
        <f t="shared" si="31"/>
        <v>3.0299999999999994</v>
      </c>
      <c r="B162" s="24" t="s">
        <v>672</v>
      </c>
      <c r="C162" s="628" t="s">
        <v>32</v>
      </c>
      <c r="D162" s="779">
        <v>1665.64</v>
      </c>
      <c r="E162" s="644">
        <v>117</v>
      </c>
      <c r="F162" s="707">
        <f t="shared" si="28"/>
        <v>194879.88</v>
      </c>
      <c r="G162" s="708"/>
      <c r="H162" s="708">
        <v>1665.64</v>
      </c>
      <c r="I162" s="714">
        <f t="shared" si="29"/>
        <v>1665.64</v>
      </c>
      <c r="J162" s="715">
        <f t="shared" si="30"/>
        <v>1</v>
      </c>
      <c r="K162" s="568"/>
      <c r="L162" s="568">
        <f>H162*E162</f>
        <v>194879.88</v>
      </c>
      <c r="M162" s="568">
        <f>K162+L162</f>
        <v>194879.88</v>
      </c>
    </row>
    <row r="163" spans="1:13">
      <c r="A163" s="624"/>
      <c r="B163" s="778"/>
      <c r="C163" s="621"/>
      <c r="D163" s="712"/>
      <c r="E163" s="707"/>
      <c r="F163" s="724">
        <f>SUM(F160:F162)</f>
        <v>945727.88</v>
      </c>
      <c r="G163" s="708"/>
      <c r="H163" s="708"/>
      <c r="I163" s="714"/>
      <c r="J163" s="715"/>
      <c r="K163" s="568"/>
      <c r="L163" s="576">
        <f>SUM(L160:L162)</f>
        <v>505727.88</v>
      </c>
      <c r="M163" s="576">
        <f>K163+L163</f>
        <v>505727.88</v>
      </c>
    </row>
    <row r="164" spans="1:13">
      <c r="A164" s="624"/>
      <c r="B164" s="778"/>
      <c r="C164" s="621"/>
      <c r="D164" s="712"/>
      <c r="E164" s="707"/>
      <c r="F164" s="707"/>
      <c r="G164" s="708"/>
      <c r="H164" s="708"/>
      <c r="I164" s="714"/>
      <c r="J164" s="715"/>
      <c r="K164" s="568"/>
      <c r="L164" s="568"/>
      <c r="M164" s="568"/>
    </row>
    <row r="165" spans="1:13">
      <c r="A165" s="624"/>
      <c r="B165" s="778"/>
      <c r="C165" s="621"/>
      <c r="D165" s="712"/>
      <c r="E165" s="707"/>
      <c r="F165" s="707"/>
      <c r="G165" s="708"/>
      <c r="H165" s="708"/>
      <c r="I165" s="714"/>
      <c r="J165" s="715"/>
      <c r="K165" s="568"/>
      <c r="L165" s="568"/>
      <c r="M165" s="568"/>
    </row>
    <row r="166" spans="1:13">
      <c r="A166" s="624"/>
      <c r="B166" s="778"/>
      <c r="C166" s="621"/>
      <c r="D166" s="712"/>
      <c r="E166" s="707"/>
      <c r="F166" s="707"/>
      <c r="G166" s="708"/>
      <c r="H166" s="708"/>
      <c r="I166" s="714"/>
      <c r="J166" s="715"/>
      <c r="K166" s="568"/>
      <c r="L166" s="568"/>
      <c r="M166" s="568"/>
    </row>
    <row r="167" spans="1:13">
      <c r="A167" s="624"/>
      <c r="B167" s="778"/>
      <c r="C167" s="621"/>
      <c r="D167" s="712"/>
      <c r="E167" s="707"/>
      <c r="F167" s="707"/>
      <c r="G167" s="708"/>
      <c r="H167" s="708"/>
      <c r="I167" s="714"/>
      <c r="J167" s="715"/>
      <c r="K167" s="568"/>
      <c r="L167" s="568"/>
      <c r="M167" s="568"/>
    </row>
    <row r="168" spans="1:13">
      <c r="A168" s="624"/>
      <c r="B168" s="778"/>
      <c r="C168" s="621"/>
      <c r="D168" s="712"/>
      <c r="E168" s="707"/>
      <c r="F168" s="707"/>
      <c r="G168" s="708"/>
      <c r="H168" s="708"/>
      <c r="I168" s="714"/>
      <c r="J168" s="715"/>
      <c r="K168" s="568"/>
      <c r="L168" s="568"/>
      <c r="M168" s="568"/>
    </row>
    <row r="169" spans="1:13">
      <c r="A169" s="624"/>
      <c r="B169" s="778"/>
      <c r="C169" s="621"/>
      <c r="D169" s="712"/>
      <c r="E169" s="707"/>
      <c r="F169" s="707"/>
      <c r="G169" s="708"/>
      <c r="H169" s="708"/>
      <c r="I169" s="714"/>
      <c r="J169" s="715"/>
      <c r="K169" s="568"/>
      <c r="L169" s="568"/>
      <c r="M169" s="568"/>
    </row>
    <row r="170" spans="1:13">
      <c r="A170" s="624"/>
      <c r="B170" s="372" t="s">
        <v>33</v>
      </c>
      <c r="C170" s="372"/>
      <c r="D170" s="372"/>
      <c r="E170" s="372"/>
      <c r="F170" s="780">
        <f>F149+F156+F157</f>
        <v>4275031.0601000004</v>
      </c>
      <c r="G170" s="708"/>
      <c r="H170" s="708"/>
      <c r="I170" s="708"/>
      <c r="J170" s="708"/>
      <c r="K170" s="568"/>
      <c r="L170" s="781"/>
      <c r="M170" s="576"/>
    </row>
    <row r="171" spans="1:13">
      <c r="A171" s="782"/>
      <c r="B171" s="404" t="s">
        <v>374</v>
      </c>
      <c r="C171" s="783"/>
      <c r="D171" s="783"/>
      <c r="E171" s="783"/>
      <c r="F171" s="784">
        <f>F143</f>
        <v>24223599.790570319</v>
      </c>
      <c r="H171" s="753"/>
      <c r="I171" s="753"/>
      <c r="J171" s="753"/>
      <c r="K171" s="785">
        <f>K143</f>
        <v>7482294.2583843991</v>
      </c>
      <c r="L171" s="785">
        <f>L143</f>
        <v>601825.14530917618</v>
      </c>
      <c r="M171" s="745">
        <f>K171+L171</f>
        <v>8084119.4036935754</v>
      </c>
    </row>
    <row r="172" spans="1:13">
      <c r="A172" s="782"/>
      <c r="B172" s="404" t="s">
        <v>673</v>
      </c>
      <c r="C172" s="783"/>
      <c r="D172" s="783"/>
      <c r="E172" s="783"/>
      <c r="F172" s="786">
        <f>F170</f>
        <v>4275031.0601000004</v>
      </c>
      <c r="H172" s="753"/>
      <c r="I172" s="753"/>
      <c r="J172" s="753"/>
      <c r="K172" s="785">
        <f>K150+K149</f>
        <v>3292394.52</v>
      </c>
      <c r="L172" s="785">
        <f>L163+L158</f>
        <v>1367054.1368</v>
      </c>
      <c r="M172" s="745">
        <f>K172+L172</f>
        <v>4659448.6568</v>
      </c>
    </row>
    <row r="173" spans="1:13">
      <c r="A173" s="782"/>
      <c r="B173" s="663" t="s">
        <v>558</v>
      </c>
      <c r="C173" s="4"/>
      <c r="D173" s="4"/>
      <c r="F173" s="787">
        <f>F34++F18+F16</f>
        <v>7210326.8329999996</v>
      </c>
      <c r="H173" s="753"/>
      <c r="I173" s="753"/>
      <c r="J173" s="753"/>
      <c r="K173" s="785"/>
      <c r="L173" s="785"/>
      <c r="M173" s="785"/>
    </row>
    <row r="174" spans="1:13">
      <c r="A174" s="782"/>
      <c r="B174" s="6" t="s">
        <v>674</v>
      </c>
      <c r="C174" s="4"/>
      <c r="D174" s="4"/>
      <c r="E174" s="689"/>
      <c r="F174" s="788">
        <f>F171-F173</f>
        <v>17013272.957570318</v>
      </c>
      <c r="H174" s="753"/>
      <c r="I174" s="753"/>
      <c r="J174" s="753"/>
      <c r="K174" s="785"/>
      <c r="L174" s="785"/>
      <c r="M174" s="785"/>
    </row>
    <row r="175" spans="1:13">
      <c r="A175" s="782"/>
      <c r="B175" s="404" t="s">
        <v>559</v>
      </c>
      <c r="C175" s="783"/>
      <c r="D175" s="783"/>
      <c r="E175" s="783"/>
      <c r="F175" s="788">
        <f>F174</f>
        <v>17013272.957570318</v>
      </c>
      <c r="H175" s="753"/>
      <c r="I175" s="753"/>
      <c r="J175" s="753"/>
      <c r="K175" s="785">
        <f>SUM(K171:K174)</f>
        <v>10774688.778384399</v>
      </c>
      <c r="L175" s="789">
        <f>L172+L171</f>
        <v>1968879.2821091763</v>
      </c>
      <c r="M175" s="745">
        <f>K175+L175</f>
        <v>12743568.060493575</v>
      </c>
    </row>
    <row r="176" spans="1:13">
      <c r="A176" s="782"/>
      <c r="B176" s="112"/>
      <c r="C176" s="790" t="s">
        <v>675</v>
      </c>
      <c r="H176" s="753"/>
      <c r="I176" s="753"/>
      <c r="J176" s="753"/>
      <c r="K176" s="757"/>
      <c r="L176" s="757"/>
      <c r="M176" s="757"/>
    </row>
    <row r="177" spans="1:13" ht="24" customHeight="1">
      <c r="A177" s="782"/>
      <c r="B177" s="1217" t="s">
        <v>676</v>
      </c>
      <c r="C177" s="1217"/>
      <c r="D177" s="1217"/>
      <c r="E177" s="1217"/>
      <c r="F177" s="1217"/>
      <c r="G177" s="753"/>
      <c r="H177" s="753"/>
      <c r="I177" s="753"/>
      <c r="J177" s="753"/>
      <c r="K177" s="757"/>
      <c r="L177" s="757"/>
      <c r="M177" s="757"/>
    </row>
    <row r="178" spans="1:13">
      <c r="A178" s="782"/>
      <c r="B178" s="422"/>
      <c r="C178" s="753"/>
      <c r="D178" s="754"/>
      <c r="E178" s="755"/>
      <c r="F178" s="755"/>
      <c r="G178" s="753"/>
      <c r="H178" s="753"/>
      <c r="I178" s="753"/>
      <c r="J178" s="753"/>
      <c r="K178" s="757"/>
      <c r="L178" s="757"/>
      <c r="M178" s="757"/>
    </row>
    <row r="179" spans="1:13">
      <c r="A179" s="782"/>
      <c r="B179" s="422"/>
      <c r="C179" s="753"/>
      <c r="D179" s="754"/>
      <c r="E179" s="755"/>
      <c r="F179" s="755"/>
      <c r="G179" s="753"/>
      <c r="H179" s="753"/>
      <c r="I179" s="753"/>
      <c r="J179" s="753"/>
      <c r="K179" s="757"/>
      <c r="L179" s="757"/>
      <c r="M179" s="757"/>
    </row>
    <row r="180" spans="1:13">
      <c r="A180" s="782"/>
      <c r="B180" s="422"/>
      <c r="C180" s="753"/>
      <c r="D180" s="754"/>
      <c r="E180" s="755"/>
      <c r="F180" s="755"/>
      <c r="G180" s="753"/>
      <c r="H180" s="753"/>
      <c r="I180" s="753"/>
      <c r="J180" s="753"/>
      <c r="K180" s="757"/>
      <c r="L180" s="757"/>
      <c r="M180" s="757"/>
    </row>
    <row r="181" spans="1:13">
      <c r="A181" s="782"/>
      <c r="B181" s="422"/>
      <c r="C181" s="753"/>
      <c r="D181" s="754"/>
      <c r="E181" s="755"/>
      <c r="F181" s="755"/>
      <c r="G181" s="753"/>
      <c r="H181" s="753"/>
      <c r="I181" s="753"/>
      <c r="J181" s="753"/>
      <c r="K181" s="757"/>
      <c r="L181" s="757"/>
      <c r="M181" s="757"/>
    </row>
    <row r="182" spans="1:13">
      <c r="A182" s="782"/>
      <c r="B182" s="422"/>
      <c r="C182" s="753"/>
      <c r="D182" s="754"/>
      <c r="E182" s="755"/>
      <c r="F182" s="755"/>
      <c r="G182" s="753"/>
      <c r="H182" s="753"/>
      <c r="I182" s="753"/>
      <c r="J182" s="753"/>
      <c r="K182" s="757"/>
      <c r="L182" s="757"/>
      <c r="M182" s="757"/>
    </row>
    <row r="183" spans="1:13">
      <c r="A183" s="782"/>
      <c r="B183" s="422"/>
      <c r="C183" s="753"/>
      <c r="D183" s="754"/>
      <c r="E183" s="755"/>
      <c r="F183" s="755"/>
      <c r="G183" s="753"/>
      <c r="H183" s="753"/>
      <c r="I183" s="753"/>
      <c r="J183" s="753"/>
      <c r="K183" s="757"/>
      <c r="L183" s="757"/>
      <c r="M183" s="757"/>
    </row>
    <row r="184" spans="1:13">
      <c r="A184" s="782"/>
      <c r="B184" s="422"/>
      <c r="C184" s="753"/>
      <c r="D184" s="754"/>
      <c r="E184" s="755"/>
      <c r="F184" s="755"/>
      <c r="G184" s="753"/>
      <c r="H184" s="753"/>
      <c r="I184" s="753"/>
      <c r="J184" s="753"/>
      <c r="K184" s="757"/>
      <c r="L184" s="757"/>
      <c r="M184" s="757"/>
    </row>
    <row r="185" spans="1:13">
      <c r="A185" s="782"/>
      <c r="B185" s="422"/>
      <c r="C185" s="753"/>
      <c r="D185" s="754"/>
      <c r="E185" s="755"/>
      <c r="F185" s="755"/>
      <c r="G185" s="753"/>
      <c r="H185" s="753"/>
      <c r="I185" s="753"/>
      <c r="J185" s="753"/>
      <c r="K185" s="757"/>
      <c r="L185" s="757"/>
      <c r="M185" s="757"/>
    </row>
    <row r="186" spans="1:13">
      <c r="A186" s="782"/>
      <c r="B186" s="422"/>
      <c r="C186" s="753"/>
      <c r="D186" s="754"/>
      <c r="E186" s="755"/>
      <c r="F186" s="755"/>
      <c r="G186" s="753"/>
      <c r="H186" s="753"/>
      <c r="I186" s="753"/>
      <c r="J186" s="753"/>
      <c r="K186" s="757"/>
      <c r="L186" s="757"/>
      <c r="M186" s="757"/>
    </row>
    <row r="187" spans="1:13">
      <c r="A187" s="782"/>
      <c r="B187" s="422"/>
      <c r="C187" s="753"/>
      <c r="D187" s="754"/>
      <c r="E187" s="755"/>
      <c r="F187" s="755"/>
      <c r="G187" s="753"/>
      <c r="H187" s="753"/>
      <c r="I187" s="753"/>
      <c r="J187" s="753"/>
      <c r="K187" s="757"/>
      <c r="L187" s="757"/>
      <c r="M187" s="757"/>
    </row>
    <row r="188" spans="1:13">
      <c r="A188" s="752"/>
      <c r="B188" s="422"/>
      <c r="C188" s="753"/>
      <c r="D188" s="754"/>
      <c r="E188" s="755"/>
      <c r="F188" s="755"/>
      <c r="G188" s="753"/>
      <c r="H188" s="753"/>
      <c r="I188" s="753"/>
      <c r="J188" s="753"/>
      <c r="K188" s="757"/>
      <c r="L188" s="757"/>
      <c r="M188" s="757"/>
    </row>
    <row r="189" spans="1:13">
      <c r="A189" s="689"/>
      <c r="B189" s="422"/>
      <c r="C189" s="753"/>
      <c r="D189" s="754"/>
      <c r="E189" s="755"/>
      <c r="F189" s="755"/>
      <c r="G189" s="753"/>
      <c r="H189" s="753"/>
      <c r="I189" s="753"/>
      <c r="J189" s="753"/>
      <c r="K189" s="757"/>
      <c r="L189" s="757"/>
      <c r="M189" s="757"/>
    </row>
    <row r="190" spans="1:13">
      <c r="A190" s="689"/>
      <c r="B190" s="689"/>
      <c r="C190" s="689"/>
      <c r="D190" s="791"/>
      <c r="E190" s="1218" t="s">
        <v>0</v>
      </c>
      <c r="F190" s="1218"/>
      <c r="G190" s="1218"/>
      <c r="H190" s="1218"/>
      <c r="I190" s="1218"/>
      <c r="J190" s="1218"/>
      <c r="K190" s="1218"/>
      <c r="L190" s="689"/>
      <c r="M190" s="689"/>
    </row>
    <row r="191" spans="1:13">
      <c r="A191" s="689"/>
      <c r="B191" s="689"/>
      <c r="C191" s="792"/>
      <c r="D191" s="793"/>
      <c r="E191" s="794"/>
      <c r="F191" s="1219" t="s">
        <v>1</v>
      </c>
      <c r="G191" s="1219"/>
      <c r="H191" s="1219"/>
      <c r="I191" s="792"/>
      <c r="J191" s="792"/>
      <c r="K191" s="792"/>
      <c r="L191" s="792"/>
      <c r="M191" s="792"/>
    </row>
    <row r="192" spans="1:13">
      <c r="A192" s="689"/>
      <c r="B192" s="792"/>
      <c r="C192" s="792"/>
      <c r="D192" s="793"/>
      <c r="E192" s="794"/>
      <c r="F192" s="795"/>
      <c r="G192" s="792"/>
      <c r="H192" s="792"/>
      <c r="I192" s="792"/>
      <c r="J192" s="792"/>
      <c r="K192" s="792"/>
      <c r="L192" s="792"/>
      <c r="M192" s="796" t="s">
        <v>562</v>
      </c>
    </row>
    <row r="193" spans="1:13">
      <c r="A193" s="689"/>
      <c r="B193" s="753"/>
      <c r="C193" s="797" t="s">
        <v>3</v>
      </c>
      <c r="D193" s="1220" t="s">
        <v>565</v>
      </c>
      <c r="E193" s="1220"/>
      <c r="F193" s="1220"/>
      <c r="G193" s="422"/>
      <c r="H193" s="799"/>
      <c r="I193" s="753"/>
      <c r="J193" s="753"/>
      <c r="K193" s="753"/>
      <c r="L193" s="1" t="s">
        <v>5</v>
      </c>
      <c r="M193" s="800" t="s">
        <v>566</v>
      </c>
    </row>
    <row r="194" spans="1:13" ht="24.75">
      <c r="A194" s="689"/>
      <c r="B194" s="753"/>
      <c r="C194" s="801" t="s">
        <v>7</v>
      </c>
      <c r="D194" s="798">
        <v>3</v>
      </c>
      <c r="E194" s="663"/>
      <c r="F194" s="757"/>
      <c r="G194" s="422"/>
      <c r="H194" s="422"/>
      <c r="I194" s="753"/>
      <c r="J194" s="753"/>
      <c r="K194" s="753"/>
      <c r="L194" s="801" t="s">
        <v>8</v>
      </c>
      <c r="M194" s="8" t="s">
        <v>567</v>
      </c>
    </row>
    <row r="195" spans="1:13" ht="24.75">
      <c r="A195" s="689"/>
      <c r="B195" s="1221" t="s">
        <v>9</v>
      </c>
      <c r="C195" s="1221"/>
      <c r="D195" s="1220" t="s">
        <v>568</v>
      </c>
      <c r="E195" s="1220"/>
      <c r="F195" s="757"/>
      <c r="G195" s="422"/>
      <c r="H195" s="802"/>
      <c r="I195" s="753"/>
      <c r="J195" s="753"/>
      <c r="K195" s="753"/>
      <c r="L195" s="801" t="s">
        <v>11</v>
      </c>
      <c r="M195" s="803" t="s">
        <v>569</v>
      </c>
    </row>
    <row r="196" spans="1:13">
      <c r="A196" s="689"/>
      <c r="B196" s="753"/>
      <c r="C196" s="801" t="s">
        <v>13</v>
      </c>
      <c r="D196" s="1141" t="s">
        <v>570</v>
      </c>
      <c r="E196" s="1141"/>
      <c r="F196" s="757"/>
      <c r="G196" s="422"/>
      <c r="H196" s="422"/>
      <c r="I196" s="753"/>
      <c r="J196" s="753"/>
      <c r="K196" s="753"/>
      <c r="L196" s="753"/>
      <c r="M196" s="753"/>
    </row>
    <row r="197" spans="1:13">
      <c r="A197" s="689"/>
      <c r="B197" s="753"/>
      <c r="C197" s="801"/>
      <c r="D197" s="804"/>
      <c r="E197" s="757"/>
      <c r="F197" s="690" t="s">
        <v>21</v>
      </c>
      <c r="G197" s="422"/>
      <c r="H197" s="1187" t="s">
        <v>24</v>
      </c>
      <c r="I197" s="1187"/>
      <c r="J197" s="1187" t="s">
        <v>25</v>
      </c>
      <c r="K197" s="1187"/>
      <c r="L197" s="1187" t="s">
        <v>26</v>
      </c>
      <c r="M197" s="1187"/>
    </row>
    <row r="198" spans="1:13">
      <c r="A198" s="689"/>
      <c r="B198" s="1187" t="s">
        <v>454</v>
      </c>
      <c r="C198" s="1187"/>
      <c r="D198" s="1187"/>
      <c r="E198" s="1187"/>
      <c r="F198" s="805">
        <f>F175+F172</f>
        <v>21288304.017670318</v>
      </c>
      <c r="G198" s="785"/>
      <c r="H198" s="1204">
        <f>K175</f>
        <v>10774688.778384399</v>
      </c>
      <c r="I198" s="1204"/>
      <c r="J198" s="1216">
        <f>L175</f>
        <v>1968879.2821091763</v>
      </c>
      <c r="K198" s="1216"/>
      <c r="L198" s="1209">
        <f>H198+J198</f>
        <v>12743568.060493575</v>
      </c>
      <c r="M198" s="1209"/>
    </row>
    <row r="199" spans="1:13">
      <c r="A199" s="689"/>
      <c r="B199" s="753"/>
      <c r="C199" s="118" t="s">
        <v>215</v>
      </c>
      <c r="D199" s="804"/>
      <c r="E199" s="757"/>
      <c r="F199" s="757"/>
      <c r="G199" s="422"/>
      <c r="H199" s="422"/>
      <c r="I199" s="753"/>
      <c r="J199" s="753"/>
      <c r="K199" s="689"/>
      <c r="L199" s="753"/>
      <c r="M199" s="689"/>
    </row>
    <row r="200" spans="1:13">
      <c r="A200" s="689"/>
      <c r="B200" s="753"/>
      <c r="C200" s="9" t="s">
        <v>133</v>
      </c>
      <c r="D200" s="804"/>
      <c r="E200" s="757"/>
      <c r="F200" s="757"/>
      <c r="G200" s="422"/>
      <c r="H200" s="422"/>
      <c r="I200" s="753"/>
      <c r="J200" s="753"/>
      <c r="K200" s="689"/>
      <c r="L200" s="807"/>
      <c r="M200" s="807"/>
    </row>
    <row r="201" spans="1:13">
      <c r="A201" s="689"/>
      <c r="B201" s="808"/>
      <c r="C201" s="9" t="s">
        <v>134</v>
      </c>
      <c r="D201" s="691"/>
      <c r="E201" s="809">
        <v>3.5000000000000003E-2</v>
      </c>
      <c r="F201" s="810">
        <f>E201*F198</f>
        <v>745090.64061846118</v>
      </c>
      <c r="G201" s="811"/>
      <c r="H201" s="1205">
        <f>H198*E201</f>
        <v>377114.10724345397</v>
      </c>
      <c r="I201" s="1205"/>
      <c r="J201" s="1216">
        <f>J198*E201</f>
        <v>68910.774873821181</v>
      </c>
      <c r="K201" s="1216"/>
      <c r="L201" s="1209">
        <f t="shared" ref="L201:L208" si="32">H201+J201</f>
        <v>446024.88211727515</v>
      </c>
      <c r="M201" s="1209"/>
    </row>
    <row r="202" spans="1:13">
      <c r="A202" s="689"/>
      <c r="B202" s="808"/>
      <c r="C202" s="9" t="s">
        <v>135</v>
      </c>
      <c r="D202" s="691"/>
      <c r="E202" s="809">
        <v>0.1</v>
      </c>
      <c r="F202" s="810">
        <f>E202*F198</f>
        <v>2128830.4017670318</v>
      </c>
      <c r="G202" s="811"/>
      <c r="H202" s="1205">
        <f>H198*E202</f>
        <v>1077468.87783844</v>
      </c>
      <c r="I202" s="1205"/>
      <c r="J202" s="1216">
        <f>J198*E202</f>
        <v>196887.92821091763</v>
      </c>
      <c r="K202" s="1216"/>
      <c r="L202" s="1209">
        <f t="shared" si="32"/>
        <v>1274356.8060493576</v>
      </c>
      <c r="M202" s="1209"/>
    </row>
    <row r="203" spans="1:13">
      <c r="A203" s="689"/>
      <c r="B203" s="808"/>
      <c r="C203" s="9" t="s">
        <v>136</v>
      </c>
      <c r="D203" s="691"/>
      <c r="E203" s="809">
        <v>0.18</v>
      </c>
      <c r="F203" s="810">
        <f>E203*F202</f>
        <v>383189.4723180657</v>
      </c>
      <c r="G203" s="811"/>
      <c r="H203" s="1205">
        <f>H202*E203</f>
        <v>193944.39801091919</v>
      </c>
      <c r="I203" s="1205"/>
      <c r="J203" s="1216">
        <f>J202*E203</f>
        <v>35439.827077965172</v>
      </c>
      <c r="K203" s="1216"/>
      <c r="L203" s="1209">
        <f t="shared" si="32"/>
        <v>229384.22508888436</v>
      </c>
      <c r="M203" s="1209"/>
    </row>
    <row r="204" spans="1:13">
      <c r="A204" s="689"/>
      <c r="B204" s="808"/>
      <c r="C204" s="9" t="s">
        <v>137</v>
      </c>
      <c r="D204" s="691"/>
      <c r="E204" s="809">
        <v>0.03</v>
      </c>
      <c r="F204" s="810">
        <f>E204*F198</f>
        <v>638649.1205301095</v>
      </c>
      <c r="G204" s="811"/>
      <c r="H204" s="1205">
        <f>H198*E204</f>
        <v>323240.66335153196</v>
      </c>
      <c r="I204" s="1205"/>
      <c r="J204" s="1216">
        <f>J198*E204</f>
        <v>59066.378463275287</v>
      </c>
      <c r="K204" s="1216"/>
      <c r="L204" s="1209">
        <f t="shared" si="32"/>
        <v>382307.04181480722</v>
      </c>
      <c r="M204" s="1209"/>
    </row>
    <row r="205" spans="1:13">
      <c r="A205" s="689"/>
      <c r="B205" s="808"/>
      <c r="C205" s="9" t="s">
        <v>138</v>
      </c>
      <c r="D205" s="691"/>
      <c r="E205" s="812">
        <v>0.02</v>
      </c>
      <c r="F205" s="810">
        <f>E205*F198</f>
        <v>425766.08035340637</v>
      </c>
      <c r="G205" s="811"/>
      <c r="H205" s="1205">
        <f>H198*E205</f>
        <v>215493.77556768799</v>
      </c>
      <c r="I205" s="1205"/>
      <c r="J205" s="1215">
        <f>J198*E205</f>
        <v>39377.585642183527</v>
      </c>
      <c r="K205" s="1215"/>
      <c r="L205" s="1209">
        <f t="shared" si="32"/>
        <v>254871.36120987151</v>
      </c>
      <c r="M205" s="1209"/>
    </row>
    <row r="206" spans="1:13">
      <c r="A206" s="689"/>
      <c r="B206" s="808"/>
      <c r="C206" s="118" t="s">
        <v>139</v>
      </c>
      <c r="D206" s="691"/>
      <c r="E206" s="809">
        <v>0.01</v>
      </c>
      <c r="F206" s="810">
        <f>E206*F198</f>
        <v>212883.04017670319</v>
      </c>
      <c r="G206" s="811"/>
      <c r="H206" s="1205">
        <f>H198*E206</f>
        <v>107746.88778384399</v>
      </c>
      <c r="I206" s="1205"/>
      <c r="J206" s="1215">
        <f>J198*E206</f>
        <v>19688.792821091763</v>
      </c>
      <c r="K206" s="1215"/>
      <c r="L206" s="1209">
        <f t="shared" si="32"/>
        <v>127435.68060493575</v>
      </c>
      <c r="M206" s="1209"/>
    </row>
    <row r="207" spans="1:13">
      <c r="A207" s="689"/>
      <c r="B207" s="808"/>
      <c r="C207" s="9" t="s">
        <v>677</v>
      </c>
      <c r="D207" s="691"/>
      <c r="E207" s="809">
        <v>0.02</v>
      </c>
      <c r="F207" s="810">
        <f>F198*E207</f>
        <v>425766.08035340637</v>
      </c>
      <c r="G207" s="811"/>
      <c r="H207" s="810"/>
      <c r="I207" s="810"/>
      <c r="J207" s="813"/>
      <c r="K207" s="813"/>
      <c r="L207" s="806"/>
      <c r="M207" s="806"/>
    </row>
    <row r="208" spans="1:13">
      <c r="A208" s="689"/>
      <c r="B208" s="808"/>
      <c r="C208" s="118" t="s">
        <v>140</v>
      </c>
      <c r="D208" s="691"/>
      <c r="E208" s="814">
        <v>1E-3</v>
      </c>
      <c r="F208" s="815">
        <f>E208*F198</f>
        <v>21288.304017670318</v>
      </c>
      <c r="G208" s="816"/>
      <c r="H208" s="1205">
        <f>H198*E208</f>
        <v>10774.688778384399</v>
      </c>
      <c r="I208" s="1205"/>
      <c r="J208" s="1208">
        <f>J198*E208</f>
        <v>1968.8792821091763</v>
      </c>
      <c r="K208" s="1208"/>
      <c r="L208" s="1209">
        <f t="shared" si="32"/>
        <v>12743.568060493575</v>
      </c>
      <c r="M208" s="1209"/>
    </row>
    <row r="209" spans="1:13">
      <c r="A209" s="689"/>
      <c r="B209" s="808"/>
      <c r="C209" s="817" t="s">
        <v>388</v>
      </c>
      <c r="D209" s="818"/>
      <c r="E209" s="248">
        <f>E208+E206+E205+E204+E202+E201+1.8%</f>
        <v>0.21400000000000002</v>
      </c>
      <c r="F209" s="819">
        <f>F201+F202+F203+F204+F205+F206+F208+F207</f>
        <v>4981463.1401348552</v>
      </c>
      <c r="G209" s="820"/>
      <c r="H209" s="1210"/>
      <c r="I209" s="1210"/>
      <c r="L209" s="1211"/>
      <c r="M209" s="1211"/>
    </row>
    <row r="210" spans="1:13">
      <c r="A210" s="689"/>
      <c r="B210" s="808"/>
      <c r="C210" s="118"/>
      <c r="D210" s="691"/>
      <c r="E210" s="690"/>
      <c r="F210" s="822"/>
      <c r="G210" s="823"/>
      <c r="H210" s="824"/>
      <c r="I210" s="825"/>
      <c r="J210" s="826"/>
      <c r="K210" s="689"/>
      <c r="L210" s="827"/>
      <c r="M210" s="689"/>
    </row>
    <row r="211" spans="1:13">
      <c r="A211" s="689"/>
      <c r="B211" s="808"/>
      <c r="C211" s="9" t="s">
        <v>389</v>
      </c>
      <c r="D211" s="818"/>
      <c r="E211" s="828"/>
      <c r="F211" s="829">
        <f>F198+F209</f>
        <v>26269767.157805175</v>
      </c>
      <c r="G211" s="820"/>
      <c r="H211" s="1212">
        <f>SUM(H201:I210)</f>
        <v>2305783.3985742615</v>
      </c>
      <c r="I211" s="1212"/>
      <c r="J211" s="1213">
        <f>SUM(J201:K208)</f>
        <v>421340.16637136374</v>
      </c>
      <c r="K211" s="1213"/>
      <c r="L211" s="1214">
        <f>H211+J211</f>
        <v>2727123.5649456251</v>
      </c>
      <c r="M211" s="1214"/>
    </row>
    <row r="212" spans="1:13">
      <c r="A212" s="689"/>
      <c r="B212" s="808"/>
      <c r="C212" s="689"/>
      <c r="D212" s="818"/>
      <c r="E212" s="828"/>
      <c r="F212" s="830"/>
      <c r="G212" s="820"/>
      <c r="H212" s="821"/>
      <c r="I212" s="831"/>
      <c r="J212" s="832"/>
      <c r="K212" s="689"/>
      <c r="L212" s="829"/>
      <c r="M212" s="831"/>
    </row>
    <row r="213" spans="1:13">
      <c r="A213" s="689"/>
      <c r="B213" s="808"/>
      <c r="C213" s="1123" t="s">
        <v>678</v>
      </c>
      <c r="D213" s="1123"/>
      <c r="E213" s="833"/>
      <c r="F213" s="834"/>
      <c r="G213" s="827"/>
      <c r="H213" s="1205">
        <f>H211+H198</f>
        <v>13080472.17695866</v>
      </c>
      <c r="I213" s="1205"/>
      <c r="J213" s="1206">
        <f>J198+J211</f>
        <v>2390219.44848054</v>
      </c>
      <c r="K213" s="1206"/>
      <c r="L213" s="1207">
        <f>H213+J213</f>
        <v>15470691.625439201</v>
      </c>
      <c r="M213" s="1207"/>
    </row>
    <row r="214" spans="1:13">
      <c r="A214" s="689"/>
      <c r="B214" s="808"/>
      <c r="C214" s="118"/>
      <c r="D214" s="835"/>
      <c r="E214" s="833"/>
      <c r="F214" s="836"/>
      <c r="G214" s="827"/>
      <c r="H214" s="825"/>
      <c r="I214" s="825"/>
      <c r="J214" s="824"/>
      <c r="K214" s="831"/>
      <c r="L214" s="837"/>
      <c r="M214" s="825"/>
    </row>
    <row r="215" spans="1:13">
      <c r="A215" s="689"/>
      <c r="B215" s="753"/>
      <c r="C215" s="838" t="s">
        <v>144</v>
      </c>
      <c r="D215" s="754"/>
      <c r="E215" s="755"/>
      <c r="F215" s="755"/>
      <c r="G215" s="753"/>
      <c r="H215" s="839"/>
      <c r="I215" s="839"/>
      <c r="J215" s="839"/>
      <c r="K215" s="831"/>
      <c r="L215" s="839"/>
      <c r="M215" s="839"/>
    </row>
    <row r="216" spans="1:13">
      <c r="A216" s="689"/>
      <c r="B216" s="753"/>
      <c r="C216" s="422" t="s">
        <v>161</v>
      </c>
      <c r="D216" s="754"/>
      <c r="E216" s="690"/>
      <c r="F216" s="755"/>
      <c r="G216" s="753"/>
      <c r="H216" s="1204"/>
      <c r="I216" s="1204"/>
      <c r="J216" s="1205"/>
      <c r="K216" s="1205"/>
      <c r="L216" s="1204"/>
      <c r="M216" s="1204"/>
    </row>
    <row r="217" spans="1:13">
      <c r="A217" s="689"/>
      <c r="B217" s="753"/>
      <c r="C217" s="118"/>
      <c r="D217" s="754"/>
      <c r="E217" s="690"/>
      <c r="F217" s="755"/>
      <c r="G217" s="753"/>
      <c r="H217" s="1204"/>
      <c r="I217" s="1204"/>
      <c r="J217" s="1204"/>
      <c r="K217" s="1204"/>
      <c r="L217" s="1204"/>
      <c r="M217" s="1204"/>
    </row>
    <row r="218" spans="1:13">
      <c r="A218" s="689"/>
      <c r="B218" s="753"/>
      <c r="C218" s="9" t="s">
        <v>145</v>
      </c>
      <c r="D218" s="835"/>
      <c r="E218" s="840">
        <v>0.2</v>
      </c>
      <c r="F218" s="833"/>
      <c r="G218" s="796"/>
      <c r="H218" s="1204">
        <f>E218*H213</f>
        <v>2616094.435391732</v>
      </c>
      <c r="I218" s="1204"/>
      <c r="J218" s="1204">
        <f>J213*E218</f>
        <v>478043.889696108</v>
      </c>
      <c r="K218" s="1204"/>
      <c r="L218" s="1204">
        <f>H218+J218</f>
        <v>3094138.3250878402</v>
      </c>
      <c r="M218" s="1204"/>
    </row>
    <row r="219" spans="1:13">
      <c r="A219" s="689"/>
      <c r="B219" s="753"/>
      <c r="C219" s="9"/>
      <c r="D219" s="835"/>
      <c r="E219" s="833"/>
      <c r="F219" s="833"/>
      <c r="G219" s="796"/>
      <c r="H219" s="1200"/>
      <c r="I219" s="1200"/>
      <c r="J219" s="1200"/>
      <c r="K219" s="1200"/>
      <c r="L219" s="1201"/>
      <c r="M219" s="1201"/>
    </row>
    <row r="220" spans="1:13">
      <c r="A220" s="689"/>
      <c r="B220" s="753"/>
      <c r="C220" s="672" t="s">
        <v>564</v>
      </c>
      <c r="D220" s="835"/>
      <c r="E220" s="833"/>
      <c r="F220" s="833"/>
      <c r="G220" s="796"/>
      <c r="H220" s="1202">
        <f>H213-H218</f>
        <v>10464377.741566928</v>
      </c>
      <c r="I220" s="1202"/>
      <c r="J220" s="1203">
        <f>J213-J218</f>
        <v>1912175.558784432</v>
      </c>
      <c r="K220" s="1203"/>
      <c r="L220" s="1204">
        <f>H220+J220</f>
        <v>12376553.300351361</v>
      </c>
      <c r="M220" s="1204"/>
    </row>
    <row r="221" spans="1:13">
      <c r="A221" s="689"/>
      <c r="B221" s="753"/>
      <c r="C221" s="118"/>
      <c r="D221" s="835"/>
      <c r="E221" s="833"/>
      <c r="F221" s="833"/>
      <c r="G221" s="796"/>
      <c r="H221" s="796"/>
      <c r="I221" s="841"/>
      <c r="J221" s="753"/>
      <c r="K221" s="692"/>
      <c r="L221" s="796"/>
      <c r="M221" s="796"/>
    </row>
    <row r="222" spans="1:13" ht="15" customHeight="1">
      <c r="A222" s="689"/>
      <c r="B222" s="543" t="s">
        <v>147</v>
      </c>
      <c r="D222" s="1187" t="s">
        <v>148</v>
      </c>
      <c r="E222" s="1187"/>
      <c r="F222" s="690"/>
      <c r="G222" s="1129" t="s">
        <v>13</v>
      </c>
      <c r="H222" s="1129"/>
      <c r="I222" s="1129"/>
      <c r="K222" s="1187" t="s">
        <v>149</v>
      </c>
      <c r="L222" s="1187"/>
      <c r="M222" s="543"/>
    </row>
    <row r="223" spans="1:13">
      <c r="A223" s="689"/>
      <c r="B223" s="543"/>
      <c r="C223" s="543"/>
      <c r="D223" s="691"/>
      <c r="E223" s="690"/>
      <c r="F223" s="690"/>
      <c r="G223" s="543"/>
      <c r="H223" s="543"/>
      <c r="I223" s="543"/>
      <c r="J223" s="543"/>
      <c r="L223" s="543"/>
      <c r="M223" s="543"/>
    </row>
    <row r="224" spans="1:13" ht="15" customHeight="1">
      <c r="A224" s="689"/>
      <c r="B224" s="1" t="s">
        <v>150</v>
      </c>
      <c r="D224" s="1187" t="s">
        <v>151</v>
      </c>
      <c r="E224" s="1187"/>
      <c r="F224" s="690"/>
      <c r="G224" s="1129" t="s">
        <v>679</v>
      </c>
      <c r="H224" s="1129"/>
      <c r="I224" s="1129"/>
      <c r="K224" s="1199" t="s">
        <v>395</v>
      </c>
      <c r="L224" s="1199"/>
      <c r="M224" s="692"/>
    </row>
    <row r="225" spans="2:13" ht="28.5" customHeight="1">
      <c r="B225" s="543" t="s">
        <v>154</v>
      </c>
      <c r="C225" s="422"/>
      <c r="D225" s="1187" t="s">
        <v>155</v>
      </c>
      <c r="E225" s="1187"/>
      <c r="F225" s="690"/>
      <c r="G225" s="1112" t="s">
        <v>570</v>
      </c>
      <c r="H225" s="1112"/>
      <c r="I225" s="1112"/>
      <c r="K225" s="1123" t="s">
        <v>219</v>
      </c>
      <c r="L225" s="1123"/>
      <c r="M225" s="543"/>
    </row>
    <row r="226" spans="2:13">
      <c r="D226" s="842"/>
      <c r="E226" s="244"/>
      <c r="F226" s="244"/>
    </row>
    <row r="227" spans="2:13">
      <c r="D227" s="842"/>
      <c r="E227" s="244"/>
      <c r="F227" s="244"/>
    </row>
    <row r="228" spans="2:13">
      <c r="D228" s="842"/>
      <c r="E228" s="244"/>
      <c r="F228" s="244"/>
    </row>
    <row r="229" spans="2:13" ht="15.75">
      <c r="B229" s="843"/>
      <c r="C229" s="844"/>
      <c r="D229" s="845"/>
      <c r="E229" s="846"/>
      <c r="F229" s="847"/>
    </row>
    <row r="230" spans="2:13" ht="15.75">
      <c r="B230" s="843"/>
      <c r="C230" s="844"/>
      <c r="D230" s="845"/>
      <c r="E230" s="846"/>
      <c r="F230" s="847"/>
    </row>
  </sheetData>
  <mergeCells count="74">
    <mergeCell ref="B145:N145"/>
    <mergeCell ref="A2:M2"/>
    <mergeCell ref="A3:M3"/>
    <mergeCell ref="A10:F10"/>
    <mergeCell ref="G10:J10"/>
    <mergeCell ref="K10:M10"/>
    <mergeCell ref="B177:F177"/>
    <mergeCell ref="E190:K190"/>
    <mergeCell ref="F191:H191"/>
    <mergeCell ref="D193:F193"/>
    <mergeCell ref="B195:C195"/>
    <mergeCell ref="D195:E195"/>
    <mergeCell ref="D196:E196"/>
    <mergeCell ref="H197:I197"/>
    <mergeCell ref="J197:K197"/>
    <mergeCell ref="L197:M197"/>
    <mergeCell ref="B198:E198"/>
    <mergeCell ref="H198:I198"/>
    <mergeCell ref="J198:K198"/>
    <mergeCell ref="L198:M198"/>
    <mergeCell ref="H201:I201"/>
    <mergeCell ref="J201:K201"/>
    <mergeCell ref="L201:M201"/>
    <mergeCell ref="H202:I202"/>
    <mergeCell ref="J202:K202"/>
    <mergeCell ref="L202:M202"/>
    <mergeCell ref="H203:I203"/>
    <mergeCell ref="J203:K203"/>
    <mergeCell ref="L203:M203"/>
    <mergeCell ref="H204:I204"/>
    <mergeCell ref="J204:K204"/>
    <mergeCell ref="L204:M204"/>
    <mergeCell ref="H211:I211"/>
    <mergeCell ref="J211:K211"/>
    <mergeCell ref="L211:M211"/>
    <mergeCell ref="H205:I205"/>
    <mergeCell ref="J205:K205"/>
    <mergeCell ref="L205:M205"/>
    <mergeCell ref="H206:I206"/>
    <mergeCell ref="J206:K206"/>
    <mergeCell ref="L206:M206"/>
    <mergeCell ref="H208:I208"/>
    <mergeCell ref="J208:K208"/>
    <mergeCell ref="L208:M208"/>
    <mergeCell ref="H209:I209"/>
    <mergeCell ref="L209:M209"/>
    <mergeCell ref="C213:D213"/>
    <mergeCell ref="H213:I213"/>
    <mergeCell ref="J213:K213"/>
    <mergeCell ref="L213:M213"/>
    <mergeCell ref="H216:I216"/>
    <mergeCell ref="J216:K216"/>
    <mergeCell ref="L216:M216"/>
    <mergeCell ref="H217:I217"/>
    <mergeCell ref="J217:K217"/>
    <mergeCell ref="L217:M217"/>
    <mergeCell ref="H218:I218"/>
    <mergeCell ref="J218:K218"/>
    <mergeCell ref="L218:M218"/>
    <mergeCell ref="H219:I219"/>
    <mergeCell ref="J219:K219"/>
    <mergeCell ref="L219:M219"/>
    <mergeCell ref="H220:I220"/>
    <mergeCell ref="J220:K220"/>
    <mergeCell ref="L220:M220"/>
    <mergeCell ref="D225:E225"/>
    <mergeCell ref="G225:I225"/>
    <mergeCell ref="K225:L225"/>
    <mergeCell ref="D222:E222"/>
    <mergeCell ref="G222:I222"/>
    <mergeCell ref="K222:L222"/>
    <mergeCell ref="D224:E224"/>
    <mergeCell ref="G224:I224"/>
    <mergeCell ref="K224:L224"/>
  </mergeCells>
  <pageMargins left="0.70866141732283472" right="0.70866141732283472" top="0.74803149606299213" bottom="0.74803149606299213" header="0.31496062992125984" footer="0.31496062992125984"/>
  <pageSetup paperSize="5" scale="75" orientation="landscape" horizontalDpi="0" verticalDpi="0" r:id="rId1"/>
  <rowBreaks count="1" manualBreakCount="1">
    <brk id="187" max="16383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FA09E9-7C58-4478-86B7-DCA70E7C6B06}">
  <dimension ref="A1"/>
  <sheetViews>
    <sheetView workbookViewId="0">
      <selection activeCell="N25" sqref="N25"/>
    </sheetView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4</vt:i4>
      </vt:variant>
    </vt:vector>
  </HeadingPairs>
  <TitlesOfParts>
    <vt:vector size="15" baseType="lpstr">
      <vt:lpstr>CUB.1 Palmar Grande</vt:lpstr>
      <vt:lpstr>Cub.3 vista bella</vt:lpstr>
      <vt:lpstr>Cub.2 Mirador Sur</vt:lpstr>
      <vt:lpstr>CUB.5 Guananico</vt:lpstr>
      <vt:lpstr>MAYO---</vt:lpstr>
      <vt:lpstr>CUB.4 Cabarete</vt:lpstr>
      <vt:lpstr>CUB.3 Catalina</vt:lpstr>
      <vt:lpstr>CUB.3  Maria la O</vt:lpstr>
      <vt:lpstr>JUNIO---</vt:lpstr>
      <vt:lpstr>cub.2  Pozos</vt:lpstr>
      <vt:lpstr>CUB.2  3 Palmas</vt:lpstr>
      <vt:lpstr>'CUB.1 Palmar Grande'!Área_de_impresión</vt:lpstr>
      <vt:lpstr>'CUB.2  3 Palmas'!Área_de_impresión</vt:lpstr>
      <vt:lpstr>'Cub.3 vista bella'!Área_de_impresión</vt:lpstr>
      <vt:lpstr>'CUB.4 Cabarete'!Área_de_impresión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Marcos Joel García</dc:creator>
  <cp:lastModifiedBy>Marieli Tineo Almonte</cp:lastModifiedBy>
  <dcterms:created xsi:type="dcterms:W3CDTF">2024-07-04T13:36:40Z</dcterms:created>
  <dcterms:modified xsi:type="dcterms:W3CDTF">2024-09-30T16:11:42Z</dcterms:modified>
</cp:coreProperties>
</file>