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13_ncr:1_{077EEE04-AC9B-4373-86FB-F30CFD1667B7}" xr6:coauthVersionLast="47" xr6:coauthVersionMax="47" xr10:uidLastSave="{00000000-0000-0000-0000-000000000000}"/>
  <bookViews>
    <workbookView xWindow="-120" yWindow="-120" windowWidth="29040" windowHeight="15840" xr2:uid="{2F38AC46-FCD9-4C45-8691-07E86D452F70}"/>
  </bookViews>
  <sheets>
    <sheet name="julio " sheetId="1" r:id="rId1"/>
    <sheet name="CUB5 CABARETE" sheetId="2" r:id="rId2"/>
    <sheet name="CUB.2 SAN MARCOS " sheetId="3" r:id="rId3"/>
    <sheet name="CUB.3 SAN MARCOS " sheetId="4" r:id="rId4"/>
    <sheet name="cub.2 Los Llibres " sheetId="13" r:id="rId5"/>
    <sheet name="CUB.1 LOS DOMINGUEZ" sheetId="5" r:id="rId6"/>
    <sheet name="CUB.1 LOS CHARAMICOS " sheetId="6" r:id="rId7"/>
    <sheet name="AGOSTO " sheetId="7" r:id="rId8"/>
    <sheet name="SEPTIEMBRE " sheetId="9" r:id="rId9"/>
    <sheet name="CUB.5 ESTERO HONDO" sheetId="10" r:id="rId10"/>
    <sheet name="CUB.6 ESTERO HONDO" sheetId="11" r:id="rId11"/>
    <sheet name="Cub.2 Mirador Sur " sheetId="14" r:id="rId12"/>
    <sheet name="CUB.4 EDIFICIO " sheetId="12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K50" i="14"/>
  <c r="M50" i="14" s="1"/>
  <c r="J50" i="14"/>
  <c r="I50" i="14"/>
  <c r="F50" i="14"/>
  <c r="M46" i="14"/>
  <c r="L46" i="14"/>
  <c r="K46" i="14"/>
  <c r="I46" i="14"/>
  <c r="J46" i="14" s="1"/>
  <c r="F46" i="14"/>
  <c r="L45" i="14"/>
  <c r="L47" i="14" s="1"/>
  <c r="K45" i="14"/>
  <c r="K47" i="14" s="1"/>
  <c r="M47" i="14" s="1"/>
  <c r="I45" i="14"/>
  <c r="J45" i="14" s="1"/>
  <c r="F45" i="14"/>
  <c r="F47" i="14" s="1"/>
  <c r="A45" i="14"/>
  <c r="A46" i="14" s="1"/>
  <c r="A47" i="14" s="1"/>
  <c r="F42" i="14"/>
  <c r="F41" i="14"/>
  <c r="F40" i="14"/>
  <c r="F39" i="14"/>
  <c r="A39" i="14"/>
  <c r="A40" i="14" s="1"/>
  <c r="A41" i="14" s="1"/>
  <c r="A42" i="14" s="1"/>
  <c r="A43" i="14" s="1"/>
  <c r="F38" i="14"/>
  <c r="F43" i="14" s="1"/>
  <c r="A38" i="14"/>
  <c r="M36" i="14"/>
  <c r="M35" i="14"/>
  <c r="K35" i="14"/>
  <c r="I35" i="14"/>
  <c r="J35" i="14" s="1"/>
  <c r="F35" i="14"/>
  <c r="K34" i="14"/>
  <c r="M34" i="14" s="1"/>
  <c r="J34" i="14"/>
  <c r="I34" i="14"/>
  <c r="F34" i="14"/>
  <c r="M33" i="14"/>
  <c r="K33" i="14"/>
  <c r="I33" i="14"/>
  <c r="J33" i="14" s="1"/>
  <c r="F33" i="14"/>
  <c r="K32" i="14"/>
  <c r="M32" i="14" s="1"/>
  <c r="J32" i="14"/>
  <c r="I32" i="14"/>
  <c r="F32" i="14"/>
  <c r="F36" i="14" s="1"/>
  <c r="A32" i="14"/>
  <c r="A33" i="14" s="1"/>
  <c r="A34" i="14" s="1"/>
  <c r="A35" i="14" s="1"/>
  <c r="A36" i="14" s="1"/>
  <c r="M31" i="14"/>
  <c r="K31" i="14"/>
  <c r="I31" i="14"/>
  <c r="J31" i="14" s="1"/>
  <c r="F31" i="14"/>
  <c r="A31" i="14"/>
  <c r="L29" i="14"/>
  <c r="K29" i="14"/>
  <c r="M28" i="14"/>
  <c r="M29" i="14" s="1"/>
  <c r="L28" i="14"/>
  <c r="K28" i="14"/>
  <c r="I28" i="14"/>
  <c r="J28" i="14" s="1"/>
  <c r="F28" i="14"/>
  <c r="F27" i="14"/>
  <c r="F29" i="14" s="1"/>
  <c r="A27" i="14"/>
  <c r="A28" i="14" s="1"/>
  <c r="A29" i="14" s="1"/>
  <c r="K24" i="14"/>
  <c r="H24" i="14"/>
  <c r="L24" i="14" s="1"/>
  <c r="F24" i="14"/>
  <c r="K23" i="14"/>
  <c r="H23" i="14"/>
  <c r="I23" i="14" s="1"/>
  <c r="J23" i="14" s="1"/>
  <c r="F23" i="14"/>
  <c r="K22" i="14"/>
  <c r="H22" i="14"/>
  <c r="I22" i="14" s="1"/>
  <c r="J22" i="14" s="1"/>
  <c r="F22" i="14"/>
  <c r="K21" i="14"/>
  <c r="H21" i="14"/>
  <c r="L21" i="14" s="1"/>
  <c r="F21" i="14"/>
  <c r="K20" i="14"/>
  <c r="H20" i="14"/>
  <c r="L20" i="14" s="1"/>
  <c r="F20" i="14"/>
  <c r="K19" i="14"/>
  <c r="H19" i="14"/>
  <c r="L19" i="14" s="1"/>
  <c r="F19" i="14"/>
  <c r="K18" i="14"/>
  <c r="H18" i="14"/>
  <c r="I18" i="14" s="1"/>
  <c r="J18" i="14" s="1"/>
  <c r="F18" i="14"/>
  <c r="K17" i="14"/>
  <c r="H17" i="14"/>
  <c r="I17" i="14" s="1"/>
  <c r="J17" i="14" s="1"/>
  <c r="F17" i="14"/>
  <c r="K16" i="14"/>
  <c r="H16" i="14"/>
  <c r="I16" i="14" s="1"/>
  <c r="J16" i="14" s="1"/>
  <c r="F16" i="14"/>
  <c r="K15" i="14"/>
  <c r="H15" i="14"/>
  <c r="L15" i="14" s="1"/>
  <c r="F15" i="14"/>
  <c r="F25" i="14" s="1"/>
  <c r="A15" i="14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F13" i="14"/>
  <c r="K12" i="14"/>
  <c r="M12" i="14" s="1"/>
  <c r="J12" i="14"/>
  <c r="I12" i="14"/>
  <c r="F12" i="14"/>
  <c r="A12" i="14"/>
  <c r="A13" i="14" s="1"/>
  <c r="M16" i="14" l="1"/>
  <c r="M20" i="14"/>
  <c r="M24" i="14"/>
  <c r="M18" i="14"/>
  <c r="M21" i="14"/>
  <c r="M15" i="14"/>
  <c r="M19" i="14"/>
  <c r="M23" i="14"/>
  <c r="F51" i="14"/>
  <c r="K13" i="14"/>
  <c r="M13" i="14" s="1"/>
  <c r="L16" i="14"/>
  <c r="L25" i="14" s="1"/>
  <c r="L51" i="14" s="1"/>
  <c r="J67" i="14" s="1"/>
  <c r="L17" i="14"/>
  <c r="M17" i="14" s="1"/>
  <c r="L18" i="14"/>
  <c r="L22" i="14"/>
  <c r="M22" i="14" s="1"/>
  <c r="L23" i="14"/>
  <c r="K25" i="14"/>
  <c r="K51" i="14" s="1"/>
  <c r="M45" i="14"/>
  <c r="I15" i="14"/>
  <c r="J15" i="14" s="1"/>
  <c r="I19" i="14"/>
  <c r="J19" i="14" s="1"/>
  <c r="I20" i="14"/>
  <c r="J20" i="14" s="1"/>
  <c r="I21" i="14"/>
  <c r="J21" i="14" s="1"/>
  <c r="I24" i="14"/>
  <c r="J24" i="14" s="1"/>
  <c r="J75" i="14" l="1"/>
  <c r="J73" i="14"/>
  <c r="J71" i="14"/>
  <c r="J72" i="14" s="1"/>
  <c r="J76" i="14"/>
  <c r="J74" i="14"/>
  <c r="J70" i="14"/>
  <c r="M51" i="14"/>
  <c r="H67" i="14"/>
  <c r="M25" i="14"/>
  <c r="F77" i="14"/>
  <c r="F76" i="14"/>
  <c r="F75" i="14"/>
  <c r="F74" i="14"/>
  <c r="F73" i="14"/>
  <c r="F71" i="14"/>
  <c r="F72" i="14" s="1"/>
  <c r="F70" i="14"/>
  <c r="F67" i="14"/>
  <c r="F78" i="14"/>
  <c r="J81" i="14" l="1"/>
  <c r="J83" i="14" s="1"/>
  <c r="F81" i="14"/>
  <c r="F83" i="14" s="1"/>
  <c r="H74" i="14"/>
  <c r="L74" i="14" s="1"/>
  <c r="H70" i="14"/>
  <c r="L67" i="14"/>
  <c r="H76" i="14"/>
  <c r="L76" i="14" s="1"/>
  <c r="H75" i="14"/>
  <c r="L75" i="14" s="1"/>
  <c r="H73" i="14"/>
  <c r="L73" i="14" s="1"/>
  <c r="H71" i="14"/>
  <c r="L70" i="14" l="1"/>
  <c r="H72" i="14"/>
  <c r="L72" i="14" s="1"/>
  <c r="L71" i="14"/>
  <c r="L81" i="14" l="1"/>
  <c r="L83" i="14" s="1"/>
  <c r="N83" i="14" s="1"/>
  <c r="H81" i="14"/>
  <c r="H83" i="14" s="1"/>
  <c r="H85" i="14" l="1"/>
  <c r="H87" i="14"/>
  <c r="J85" i="14" l="1"/>
  <c r="J87" i="14" s="1"/>
  <c r="L87" i="14" s="1"/>
  <c r="L85" i="14"/>
  <c r="J39" i="13" l="1"/>
  <c r="I39" i="13"/>
  <c r="E39" i="13"/>
  <c r="F39" i="13" s="1"/>
  <c r="M38" i="13"/>
  <c r="K38" i="13"/>
  <c r="J38" i="13"/>
  <c r="I38" i="13"/>
  <c r="F38" i="13"/>
  <c r="J37" i="13"/>
  <c r="I37" i="13"/>
  <c r="E37" i="13"/>
  <c r="F37" i="13" s="1"/>
  <c r="J36" i="13"/>
  <c r="I36" i="13"/>
  <c r="E36" i="13"/>
  <c r="F36" i="13" s="1"/>
  <c r="M35" i="13"/>
  <c r="K35" i="13"/>
  <c r="J35" i="13"/>
  <c r="I35" i="13"/>
  <c r="F35" i="13"/>
  <c r="M32" i="13"/>
  <c r="K32" i="13"/>
  <c r="K33" i="13" s="1"/>
  <c r="M33" i="13" s="1"/>
  <c r="J32" i="13"/>
  <c r="I32" i="13"/>
  <c r="F32" i="13"/>
  <c r="F33" i="13" s="1"/>
  <c r="I29" i="13"/>
  <c r="J29" i="13" s="1"/>
  <c r="H29" i="13"/>
  <c r="L29" i="13" s="1"/>
  <c r="M29" i="13" s="1"/>
  <c r="F29" i="13"/>
  <c r="E29" i="13"/>
  <c r="H28" i="13"/>
  <c r="L28" i="13" s="1"/>
  <c r="M28" i="13" s="1"/>
  <c r="F28" i="13"/>
  <c r="J27" i="13"/>
  <c r="I27" i="13"/>
  <c r="H27" i="13"/>
  <c r="L27" i="13" s="1"/>
  <c r="F27" i="13"/>
  <c r="J26" i="13"/>
  <c r="I26" i="13"/>
  <c r="F26" i="13"/>
  <c r="F30" i="13" s="1"/>
  <c r="E26" i="13"/>
  <c r="K26" i="13" s="1"/>
  <c r="F24" i="13"/>
  <c r="L23" i="13"/>
  <c r="L24" i="13" s="1"/>
  <c r="K23" i="13"/>
  <c r="M23" i="13" s="1"/>
  <c r="J23" i="13"/>
  <c r="I23" i="13"/>
  <c r="F23" i="13"/>
  <c r="L20" i="13"/>
  <c r="I20" i="13"/>
  <c r="J20" i="13" s="1"/>
  <c r="F20" i="13"/>
  <c r="E20" i="13"/>
  <c r="K20" i="13" s="1"/>
  <c r="M20" i="13" s="1"/>
  <c r="L19" i="13"/>
  <c r="K19" i="13"/>
  <c r="M19" i="13" s="1"/>
  <c r="J19" i="13"/>
  <c r="I19" i="13"/>
  <c r="F19" i="13"/>
  <c r="I18" i="13"/>
  <c r="J18" i="13" s="1"/>
  <c r="F18" i="13"/>
  <c r="E18" i="13"/>
  <c r="K18" i="13" s="1"/>
  <c r="M18" i="13" s="1"/>
  <c r="L17" i="13"/>
  <c r="L21" i="13" s="1"/>
  <c r="J17" i="13"/>
  <c r="I17" i="13"/>
  <c r="F17" i="13"/>
  <c r="F21" i="13" s="1"/>
  <c r="E17" i="13"/>
  <c r="K17" i="13" s="1"/>
  <c r="K15" i="13"/>
  <c r="L14" i="13"/>
  <c r="K14" i="13"/>
  <c r="M14" i="13" s="1"/>
  <c r="I14" i="13"/>
  <c r="J14" i="13" s="1"/>
  <c r="F14" i="13"/>
  <c r="M13" i="13"/>
  <c r="L13" i="13"/>
  <c r="L15" i="13" s="1"/>
  <c r="K13" i="13"/>
  <c r="I13" i="13"/>
  <c r="J13" i="13" s="1"/>
  <c r="F13" i="13"/>
  <c r="M12" i="13"/>
  <c r="M15" i="13" s="1"/>
  <c r="K12" i="13"/>
  <c r="J12" i="13"/>
  <c r="I12" i="13"/>
  <c r="F12" i="13"/>
  <c r="F15" i="13" s="1"/>
  <c r="K21" i="13" l="1"/>
  <c r="M21" i="13" s="1"/>
  <c r="M17" i="13"/>
  <c r="L30" i="13"/>
  <c r="M27" i="13"/>
  <c r="M26" i="13"/>
  <c r="K30" i="13"/>
  <c r="M30" i="13" s="1"/>
  <c r="L41" i="13"/>
  <c r="J80" i="13" s="1"/>
  <c r="F40" i="13"/>
  <c r="F41" i="13" s="1"/>
  <c r="E80" i="13" s="1"/>
  <c r="K24" i="13"/>
  <c r="M24" i="13" s="1"/>
  <c r="K39" i="13"/>
  <c r="M39" i="13" s="1"/>
  <c r="I28" i="13"/>
  <c r="J28" i="13" s="1"/>
  <c r="K37" i="13"/>
  <c r="M37" i="13" s="1"/>
  <c r="C924" i="12"/>
  <c r="C923" i="12"/>
  <c r="K916" i="12"/>
  <c r="K915" i="12"/>
  <c r="M914" i="12"/>
  <c r="L914" i="12"/>
  <c r="J914" i="12"/>
  <c r="F914" i="12"/>
  <c r="L913" i="12"/>
  <c r="M913" i="12" s="1"/>
  <c r="J913" i="12"/>
  <c r="H913" i="12"/>
  <c r="F913" i="12"/>
  <c r="A913" i="12"/>
  <c r="A914" i="12" s="1"/>
  <c r="J912" i="12"/>
  <c r="H912" i="12"/>
  <c r="L912" i="12" s="1"/>
  <c r="F912" i="12"/>
  <c r="F915" i="12" s="1"/>
  <c r="A912" i="12"/>
  <c r="K910" i="12"/>
  <c r="F910" i="12"/>
  <c r="L909" i="12"/>
  <c r="M909" i="12" s="1"/>
  <c r="J909" i="12"/>
  <c r="H909" i="12"/>
  <c r="F909" i="12"/>
  <c r="A909" i="12"/>
  <c r="J908" i="12"/>
  <c r="H908" i="12"/>
  <c r="L908" i="12" s="1"/>
  <c r="F908" i="12"/>
  <c r="A908" i="12"/>
  <c r="K906" i="12"/>
  <c r="F906" i="12"/>
  <c r="L905" i="12"/>
  <c r="M905" i="12" s="1"/>
  <c r="J905" i="12"/>
  <c r="H905" i="12"/>
  <c r="F905" i="12"/>
  <c r="J904" i="12"/>
  <c r="H904" i="12"/>
  <c r="L904" i="12" s="1"/>
  <c r="M904" i="12" s="1"/>
  <c r="F904" i="12"/>
  <c r="L903" i="12"/>
  <c r="J903" i="12"/>
  <c r="H903" i="12"/>
  <c r="F903" i="12"/>
  <c r="A903" i="12"/>
  <c r="A904" i="12" s="1"/>
  <c r="A905" i="12" s="1"/>
  <c r="K901" i="12"/>
  <c r="F901" i="12"/>
  <c r="J900" i="12"/>
  <c r="H900" i="12"/>
  <c r="L900" i="12" s="1"/>
  <c r="F900" i="12"/>
  <c r="K898" i="12"/>
  <c r="J897" i="12"/>
  <c r="H897" i="12"/>
  <c r="L897" i="12" s="1"/>
  <c r="F897" i="12"/>
  <c r="L889" i="12"/>
  <c r="K889" i="12"/>
  <c r="F889" i="12"/>
  <c r="M888" i="12"/>
  <c r="J888" i="12"/>
  <c r="F888" i="12"/>
  <c r="M887" i="12"/>
  <c r="J887" i="12"/>
  <c r="F887" i="12"/>
  <c r="M886" i="12"/>
  <c r="M889" i="12" s="1"/>
  <c r="J886" i="12"/>
  <c r="F886" i="12"/>
  <c r="A886" i="12"/>
  <c r="A887" i="12" s="1"/>
  <c r="A888" i="12" s="1"/>
  <c r="L884" i="12"/>
  <c r="K884" i="12"/>
  <c r="L883" i="12"/>
  <c r="M883" i="12" s="1"/>
  <c r="J883" i="12"/>
  <c r="F883" i="12"/>
  <c r="M882" i="12"/>
  <c r="L882" i="12"/>
  <c r="J882" i="12"/>
  <c r="F882" i="12"/>
  <c r="A882" i="12"/>
  <c r="A883" i="12" s="1"/>
  <c r="L881" i="12"/>
  <c r="M881" i="12" s="1"/>
  <c r="M884" i="12" s="1"/>
  <c r="J881" i="12"/>
  <c r="F881" i="12"/>
  <c r="F884" i="12" s="1"/>
  <c r="A881" i="12"/>
  <c r="K879" i="12"/>
  <c r="M878" i="12"/>
  <c r="L878" i="12"/>
  <c r="J878" i="12"/>
  <c r="F878" i="12"/>
  <c r="A878" i="12"/>
  <c r="L877" i="12"/>
  <c r="J877" i="12"/>
  <c r="F877" i="12"/>
  <c r="F879" i="12" s="1"/>
  <c r="A877" i="12"/>
  <c r="M875" i="12"/>
  <c r="K875" i="12"/>
  <c r="M874" i="12"/>
  <c r="L874" i="12"/>
  <c r="J874" i="12"/>
  <c r="F874" i="12"/>
  <c r="L873" i="12"/>
  <c r="M873" i="12" s="1"/>
  <c r="J873" i="12"/>
  <c r="F873" i="12"/>
  <c r="M872" i="12"/>
  <c r="L872" i="12"/>
  <c r="L875" i="12" s="1"/>
  <c r="J872" i="12"/>
  <c r="F872" i="12"/>
  <c r="F875" i="12" s="1"/>
  <c r="A872" i="12"/>
  <c r="A873" i="12" s="1"/>
  <c r="A874" i="12" s="1"/>
  <c r="K870" i="12"/>
  <c r="L869" i="12"/>
  <c r="M869" i="12" s="1"/>
  <c r="J869" i="12"/>
  <c r="F869" i="12"/>
  <c r="M868" i="12"/>
  <c r="L868" i="12"/>
  <c r="J868" i="12"/>
  <c r="F868" i="12"/>
  <c r="L867" i="12"/>
  <c r="M867" i="12" s="1"/>
  <c r="J867" i="12"/>
  <c r="F867" i="12"/>
  <c r="F870" i="12" s="1"/>
  <c r="M866" i="12"/>
  <c r="M870" i="12" s="1"/>
  <c r="L866" i="12"/>
  <c r="J866" i="12"/>
  <c r="F866" i="12"/>
  <c r="A866" i="12"/>
  <c r="A867" i="12" s="1"/>
  <c r="A868" i="12" s="1"/>
  <c r="A869" i="12" s="1"/>
  <c r="K864" i="12"/>
  <c r="L863" i="12"/>
  <c r="M863" i="12" s="1"/>
  <c r="J863" i="12"/>
  <c r="F863" i="12"/>
  <c r="L862" i="12"/>
  <c r="J862" i="12"/>
  <c r="F862" i="12"/>
  <c r="F864" i="12" s="1"/>
  <c r="L854" i="12"/>
  <c r="K854" i="12"/>
  <c r="L853" i="12"/>
  <c r="M853" i="12" s="1"/>
  <c r="I853" i="12"/>
  <c r="J853" i="12" s="1"/>
  <c r="F853" i="12"/>
  <c r="M852" i="12"/>
  <c r="L852" i="12"/>
  <c r="J852" i="12"/>
  <c r="I852" i="12"/>
  <c r="F852" i="12"/>
  <c r="F854" i="12" s="1"/>
  <c r="L851" i="12"/>
  <c r="M851" i="12" s="1"/>
  <c r="M854" i="12" s="1"/>
  <c r="I851" i="12"/>
  <c r="J851" i="12" s="1"/>
  <c r="F851" i="12"/>
  <c r="K849" i="12"/>
  <c r="M848" i="12"/>
  <c r="M849" i="12" s="1"/>
  <c r="L848" i="12"/>
  <c r="L849" i="12" s="1"/>
  <c r="J848" i="12"/>
  <c r="I848" i="12"/>
  <c r="F848" i="12"/>
  <c r="F849" i="12" s="1"/>
  <c r="K846" i="12"/>
  <c r="F846" i="12"/>
  <c r="L845" i="12"/>
  <c r="I845" i="12"/>
  <c r="J845" i="12" s="1"/>
  <c r="F845" i="12"/>
  <c r="K843" i="12"/>
  <c r="M842" i="12"/>
  <c r="L842" i="12"/>
  <c r="J842" i="12"/>
  <c r="I842" i="12"/>
  <c r="F842" i="12"/>
  <c r="L841" i="12"/>
  <c r="M841" i="12" s="1"/>
  <c r="M843" i="12" s="1"/>
  <c r="I841" i="12"/>
  <c r="J841" i="12" s="1"/>
  <c r="F841" i="12"/>
  <c r="M840" i="12"/>
  <c r="L840" i="12"/>
  <c r="L843" i="12" s="1"/>
  <c r="J840" i="12"/>
  <c r="I840" i="12"/>
  <c r="F840" i="12"/>
  <c r="F843" i="12" s="1"/>
  <c r="K837" i="12"/>
  <c r="L836" i="12"/>
  <c r="M836" i="12" s="1"/>
  <c r="I836" i="12"/>
  <c r="J836" i="12" s="1"/>
  <c r="F836" i="12"/>
  <c r="M835" i="12"/>
  <c r="L835" i="12"/>
  <c r="J835" i="12"/>
  <c r="I835" i="12"/>
  <c r="F835" i="12"/>
  <c r="L834" i="12"/>
  <c r="M834" i="12" s="1"/>
  <c r="I834" i="12"/>
  <c r="J834" i="12" s="1"/>
  <c r="F834" i="12"/>
  <c r="M833" i="12"/>
  <c r="L833" i="12"/>
  <c r="J833" i="12"/>
  <c r="I833" i="12"/>
  <c r="F833" i="12"/>
  <c r="L832" i="12"/>
  <c r="M832" i="12" s="1"/>
  <c r="I832" i="12"/>
  <c r="J832" i="12" s="1"/>
  <c r="F832" i="12"/>
  <c r="M831" i="12"/>
  <c r="L831" i="12"/>
  <c r="J831" i="12"/>
  <c r="I831" i="12"/>
  <c r="F831" i="12"/>
  <c r="L830" i="12"/>
  <c r="M830" i="12" s="1"/>
  <c r="I830" i="12"/>
  <c r="J830" i="12" s="1"/>
  <c r="F830" i="12"/>
  <c r="M829" i="12"/>
  <c r="L829" i="12"/>
  <c r="J829" i="12"/>
  <c r="I829" i="12"/>
  <c r="F829" i="12"/>
  <c r="F837" i="12" s="1"/>
  <c r="L828" i="12"/>
  <c r="I828" i="12"/>
  <c r="J828" i="12" s="1"/>
  <c r="F828" i="12"/>
  <c r="K826" i="12"/>
  <c r="M825" i="12"/>
  <c r="L825" i="12"/>
  <c r="J825" i="12"/>
  <c r="I825" i="12"/>
  <c r="F825" i="12"/>
  <c r="L824" i="12"/>
  <c r="M824" i="12" s="1"/>
  <c r="I824" i="12"/>
  <c r="J824" i="12" s="1"/>
  <c r="F824" i="12"/>
  <c r="M823" i="12"/>
  <c r="L823" i="12"/>
  <c r="J823" i="12"/>
  <c r="I823" i="12"/>
  <c r="F823" i="12"/>
  <c r="L822" i="12"/>
  <c r="M822" i="12" s="1"/>
  <c r="I822" i="12"/>
  <c r="J822" i="12" s="1"/>
  <c r="F822" i="12"/>
  <c r="M820" i="12"/>
  <c r="L820" i="12"/>
  <c r="J820" i="12"/>
  <c r="I820" i="12"/>
  <c r="F820" i="12"/>
  <c r="L819" i="12"/>
  <c r="M819" i="12" s="1"/>
  <c r="I819" i="12"/>
  <c r="J819" i="12" s="1"/>
  <c r="F819" i="12"/>
  <c r="M818" i="12"/>
  <c r="L818" i="12"/>
  <c r="J818" i="12"/>
  <c r="I818" i="12"/>
  <c r="F818" i="12"/>
  <c r="L817" i="12"/>
  <c r="M817" i="12" s="1"/>
  <c r="I817" i="12"/>
  <c r="J817" i="12" s="1"/>
  <c r="F817" i="12"/>
  <c r="M816" i="12"/>
  <c r="L816" i="12"/>
  <c r="J816" i="12"/>
  <c r="I816" i="12"/>
  <c r="F816" i="12"/>
  <c r="L815" i="12"/>
  <c r="M815" i="12" s="1"/>
  <c r="M826" i="12" s="1"/>
  <c r="I815" i="12"/>
  <c r="J815" i="12" s="1"/>
  <c r="F815" i="12"/>
  <c r="M814" i="12"/>
  <c r="L814" i="12"/>
  <c r="L826" i="12" s="1"/>
  <c r="J814" i="12"/>
  <c r="I814" i="12"/>
  <c r="F814" i="12"/>
  <c r="F826" i="12" s="1"/>
  <c r="L811" i="12"/>
  <c r="K811" i="12"/>
  <c r="F811" i="12"/>
  <c r="L810" i="12"/>
  <c r="M810" i="12" s="1"/>
  <c r="M811" i="12" s="1"/>
  <c r="I810" i="12"/>
  <c r="J810" i="12" s="1"/>
  <c r="F810" i="12"/>
  <c r="K808" i="12"/>
  <c r="M807" i="12"/>
  <c r="L807" i="12"/>
  <c r="J807" i="12"/>
  <c r="I807" i="12"/>
  <c r="F807" i="12"/>
  <c r="L806" i="12"/>
  <c r="L808" i="12" s="1"/>
  <c r="I806" i="12"/>
  <c r="J806" i="12" s="1"/>
  <c r="F806" i="12"/>
  <c r="K804" i="12"/>
  <c r="M803" i="12"/>
  <c r="M804" i="12" s="1"/>
  <c r="L803" i="12"/>
  <c r="L804" i="12" s="1"/>
  <c r="J803" i="12"/>
  <c r="I803" i="12"/>
  <c r="F803" i="12"/>
  <c r="F804" i="12" s="1"/>
  <c r="L801" i="12"/>
  <c r="K801" i="12"/>
  <c r="L800" i="12"/>
  <c r="M800" i="12" s="1"/>
  <c r="I800" i="12"/>
  <c r="J800" i="12" s="1"/>
  <c r="F800" i="12"/>
  <c r="M799" i="12"/>
  <c r="L799" i="12"/>
  <c r="J799" i="12"/>
  <c r="I799" i="12"/>
  <c r="F799" i="12"/>
  <c r="F801" i="12" s="1"/>
  <c r="L798" i="12"/>
  <c r="M798" i="12" s="1"/>
  <c r="I798" i="12"/>
  <c r="J798" i="12" s="1"/>
  <c r="F798" i="12"/>
  <c r="M796" i="12"/>
  <c r="K796" i="12"/>
  <c r="M795" i="12"/>
  <c r="L795" i="12"/>
  <c r="J795" i="12"/>
  <c r="I795" i="12"/>
  <c r="F795" i="12"/>
  <c r="L794" i="12"/>
  <c r="M794" i="12" s="1"/>
  <c r="I794" i="12"/>
  <c r="J794" i="12" s="1"/>
  <c r="F794" i="12"/>
  <c r="M793" i="12"/>
  <c r="L793" i="12"/>
  <c r="L796" i="12" s="1"/>
  <c r="J793" i="12"/>
  <c r="I793" i="12"/>
  <c r="F793" i="12"/>
  <c r="F796" i="12" s="1"/>
  <c r="K791" i="12"/>
  <c r="L790" i="12"/>
  <c r="M790" i="12" s="1"/>
  <c r="I790" i="12"/>
  <c r="J790" i="12" s="1"/>
  <c r="F790" i="12"/>
  <c r="M789" i="12"/>
  <c r="L789" i="12"/>
  <c r="J789" i="12"/>
  <c r="I789" i="12"/>
  <c r="F789" i="12"/>
  <c r="L788" i="12"/>
  <c r="M788" i="12" s="1"/>
  <c r="I788" i="12"/>
  <c r="J788" i="12" s="1"/>
  <c r="F788" i="12"/>
  <c r="M787" i="12"/>
  <c r="L787" i="12"/>
  <c r="J787" i="12"/>
  <c r="I787" i="12"/>
  <c r="F787" i="12"/>
  <c r="L786" i="12"/>
  <c r="I786" i="12"/>
  <c r="J786" i="12" s="1"/>
  <c r="F786" i="12"/>
  <c r="M785" i="12"/>
  <c r="L785" i="12"/>
  <c r="J785" i="12"/>
  <c r="I785" i="12"/>
  <c r="F785" i="12"/>
  <c r="F791" i="12" s="1"/>
  <c r="L783" i="12"/>
  <c r="K783" i="12"/>
  <c r="L782" i="12"/>
  <c r="M782" i="12" s="1"/>
  <c r="I782" i="12"/>
  <c r="J782" i="12" s="1"/>
  <c r="F782" i="12"/>
  <c r="M781" i="12"/>
  <c r="L781" i="12"/>
  <c r="J781" i="12"/>
  <c r="I781" i="12"/>
  <c r="F781" i="12"/>
  <c r="F783" i="12" s="1"/>
  <c r="L780" i="12"/>
  <c r="M780" i="12" s="1"/>
  <c r="I780" i="12"/>
  <c r="J780" i="12" s="1"/>
  <c r="F780" i="12"/>
  <c r="K778" i="12"/>
  <c r="M777" i="12"/>
  <c r="M778" i="12" s="1"/>
  <c r="L777" i="12"/>
  <c r="L778" i="12" s="1"/>
  <c r="J777" i="12"/>
  <c r="I777" i="12"/>
  <c r="F777" i="12"/>
  <c r="F778" i="12" s="1"/>
  <c r="K775" i="12"/>
  <c r="L774" i="12"/>
  <c r="M774" i="12" s="1"/>
  <c r="I774" i="12"/>
  <c r="J774" i="12" s="1"/>
  <c r="F774" i="12"/>
  <c r="M773" i="12"/>
  <c r="L773" i="12"/>
  <c r="J773" i="12"/>
  <c r="I773" i="12"/>
  <c r="F773" i="12"/>
  <c r="L772" i="12"/>
  <c r="M772" i="12" s="1"/>
  <c r="I772" i="12"/>
  <c r="J772" i="12" s="1"/>
  <c r="F772" i="12"/>
  <c r="M771" i="12"/>
  <c r="L771" i="12"/>
  <c r="J771" i="12"/>
  <c r="I771" i="12"/>
  <c r="F771" i="12"/>
  <c r="F775" i="12" s="1"/>
  <c r="L770" i="12"/>
  <c r="I770" i="12"/>
  <c r="J770" i="12" s="1"/>
  <c r="F770" i="12"/>
  <c r="K767" i="12"/>
  <c r="M766" i="12"/>
  <c r="L766" i="12"/>
  <c r="J766" i="12"/>
  <c r="I766" i="12"/>
  <c r="F766" i="12"/>
  <c r="L765" i="12"/>
  <c r="M765" i="12" s="1"/>
  <c r="I765" i="12"/>
  <c r="J765" i="12" s="1"/>
  <c r="F765" i="12"/>
  <c r="M764" i="12"/>
  <c r="L764" i="12"/>
  <c r="J764" i="12"/>
  <c r="I764" i="12"/>
  <c r="F764" i="12"/>
  <c r="L763" i="12"/>
  <c r="M763" i="12" s="1"/>
  <c r="I763" i="12"/>
  <c r="J763" i="12" s="1"/>
  <c r="F763" i="12"/>
  <c r="M762" i="12"/>
  <c r="L762" i="12"/>
  <c r="J762" i="12"/>
  <c r="I762" i="12"/>
  <c r="F762" i="12"/>
  <c r="L761" i="12"/>
  <c r="M761" i="12" s="1"/>
  <c r="I761" i="12"/>
  <c r="J761" i="12" s="1"/>
  <c r="F761" i="12"/>
  <c r="M760" i="12"/>
  <c r="L760" i="12"/>
  <c r="J760" i="12"/>
  <c r="I760" i="12"/>
  <c r="F760" i="12"/>
  <c r="L759" i="12"/>
  <c r="M759" i="12" s="1"/>
  <c r="I759" i="12"/>
  <c r="J759" i="12" s="1"/>
  <c r="F759" i="12"/>
  <c r="M758" i="12"/>
  <c r="L758" i="12"/>
  <c r="L767" i="12" s="1"/>
  <c r="J758" i="12"/>
  <c r="I758" i="12"/>
  <c r="F758" i="12"/>
  <c r="F767" i="12" s="1"/>
  <c r="L756" i="12"/>
  <c r="K756" i="12"/>
  <c r="L755" i="12"/>
  <c r="M755" i="12" s="1"/>
  <c r="I755" i="12"/>
  <c r="J755" i="12" s="1"/>
  <c r="F755" i="12"/>
  <c r="M754" i="12"/>
  <c r="L754" i="12"/>
  <c r="J754" i="12"/>
  <c r="I754" i="12"/>
  <c r="F754" i="12"/>
  <c r="L753" i="12"/>
  <c r="M753" i="12" s="1"/>
  <c r="I753" i="12"/>
  <c r="J753" i="12" s="1"/>
  <c r="F753" i="12"/>
  <c r="M752" i="12"/>
  <c r="L752" i="12"/>
  <c r="J752" i="12"/>
  <c r="I752" i="12"/>
  <c r="F752" i="12"/>
  <c r="L750" i="12"/>
  <c r="M750" i="12" s="1"/>
  <c r="I750" i="12"/>
  <c r="J750" i="12" s="1"/>
  <c r="F750" i="12"/>
  <c r="M749" i="12"/>
  <c r="L749" i="12"/>
  <c r="J749" i="12"/>
  <c r="I749" i="12"/>
  <c r="F749" i="12"/>
  <c r="L748" i="12"/>
  <c r="M748" i="12" s="1"/>
  <c r="I748" i="12"/>
  <c r="J748" i="12" s="1"/>
  <c r="F748" i="12"/>
  <c r="M747" i="12"/>
  <c r="L747" i="12"/>
  <c r="J747" i="12"/>
  <c r="I747" i="12"/>
  <c r="F747" i="12"/>
  <c r="L746" i="12"/>
  <c r="M746" i="12" s="1"/>
  <c r="I746" i="12"/>
  <c r="J746" i="12" s="1"/>
  <c r="F746" i="12"/>
  <c r="M745" i="12"/>
  <c r="L745" i="12"/>
  <c r="J745" i="12"/>
  <c r="I745" i="12"/>
  <c r="F745" i="12"/>
  <c r="F756" i="12" s="1"/>
  <c r="L744" i="12"/>
  <c r="M744" i="12" s="1"/>
  <c r="M756" i="12" s="1"/>
  <c r="I744" i="12"/>
  <c r="J744" i="12" s="1"/>
  <c r="F744" i="12"/>
  <c r="K741" i="12"/>
  <c r="M740" i="12"/>
  <c r="M741" i="12" s="1"/>
  <c r="L740" i="12"/>
  <c r="L741" i="12" s="1"/>
  <c r="J740" i="12"/>
  <c r="I740" i="12"/>
  <c r="F740" i="12"/>
  <c r="F741" i="12" s="1"/>
  <c r="K738" i="12"/>
  <c r="L737" i="12"/>
  <c r="I737" i="12"/>
  <c r="J737" i="12" s="1"/>
  <c r="F737" i="12"/>
  <c r="M736" i="12"/>
  <c r="L736" i="12"/>
  <c r="J736" i="12"/>
  <c r="I736" i="12"/>
  <c r="F736" i="12"/>
  <c r="F738" i="12" s="1"/>
  <c r="L734" i="12"/>
  <c r="K734" i="12"/>
  <c r="F734" i="12"/>
  <c r="L733" i="12"/>
  <c r="M733" i="12" s="1"/>
  <c r="M734" i="12" s="1"/>
  <c r="I733" i="12"/>
  <c r="J733" i="12" s="1"/>
  <c r="F733" i="12"/>
  <c r="K731" i="12"/>
  <c r="M730" i="12"/>
  <c r="L730" i="12"/>
  <c r="J730" i="12"/>
  <c r="I730" i="12"/>
  <c r="F730" i="12"/>
  <c r="L729" i="12"/>
  <c r="I729" i="12"/>
  <c r="J729" i="12" s="1"/>
  <c r="F729" i="12"/>
  <c r="M728" i="12"/>
  <c r="L728" i="12"/>
  <c r="J728" i="12"/>
  <c r="I728" i="12"/>
  <c r="F728" i="12"/>
  <c r="F731" i="12" s="1"/>
  <c r="L726" i="12"/>
  <c r="K726" i="12"/>
  <c r="L725" i="12"/>
  <c r="M725" i="12" s="1"/>
  <c r="I725" i="12"/>
  <c r="J725" i="12" s="1"/>
  <c r="F725" i="12"/>
  <c r="M724" i="12"/>
  <c r="L724" i="12"/>
  <c r="J724" i="12"/>
  <c r="I724" i="12"/>
  <c r="F724" i="12"/>
  <c r="F726" i="12" s="1"/>
  <c r="L723" i="12"/>
  <c r="M723" i="12" s="1"/>
  <c r="M726" i="12" s="1"/>
  <c r="I723" i="12"/>
  <c r="J723" i="12" s="1"/>
  <c r="F723" i="12"/>
  <c r="K721" i="12"/>
  <c r="M720" i="12"/>
  <c r="L720" i="12"/>
  <c r="J720" i="12"/>
  <c r="I720" i="12"/>
  <c r="F720" i="12"/>
  <c r="L719" i="12"/>
  <c r="M719" i="12" s="1"/>
  <c r="I719" i="12"/>
  <c r="J719" i="12" s="1"/>
  <c r="F719" i="12"/>
  <c r="M718" i="12"/>
  <c r="L718" i="12"/>
  <c r="J718" i="12"/>
  <c r="I718" i="12"/>
  <c r="F718" i="12"/>
  <c r="L717" i="12"/>
  <c r="M717" i="12" s="1"/>
  <c r="I717" i="12"/>
  <c r="J717" i="12" s="1"/>
  <c r="F717" i="12"/>
  <c r="M716" i="12"/>
  <c r="L716" i="12"/>
  <c r="J716" i="12"/>
  <c r="I716" i="12"/>
  <c r="F716" i="12"/>
  <c r="F721" i="12" s="1"/>
  <c r="L715" i="12"/>
  <c r="I715" i="12"/>
  <c r="J715" i="12" s="1"/>
  <c r="F715" i="12"/>
  <c r="K713" i="12"/>
  <c r="M712" i="12"/>
  <c r="L712" i="12"/>
  <c r="J712" i="12"/>
  <c r="I712" i="12"/>
  <c r="F712" i="12"/>
  <c r="L711" i="12"/>
  <c r="I711" i="12"/>
  <c r="J711" i="12" s="1"/>
  <c r="F711" i="12"/>
  <c r="M710" i="12"/>
  <c r="L710" i="12"/>
  <c r="J710" i="12"/>
  <c r="I710" i="12"/>
  <c r="F710" i="12"/>
  <c r="F713" i="12" s="1"/>
  <c r="L708" i="12"/>
  <c r="K708" i="12"/>
  <c r="F708" i="12"/>
  <c r="L707" i="12"/>
  <c r="M707" i="12" s="1"/>
  <c r="M708" i="12" s="1"/>
  <c r="I707" i="12"/>
  <c r="J707" i="12" s="1"/>
  <c r="F707" i="12"/>
  <c r="K703" i="12"/>
  <c r="M702" i="12"/>
  <c r="L702" i="12"/>
  <c r="J702" i="12"/>
  <c r="I702" i="12"/>
  <c r="F702" i="12"/>
  <c r="L701" i="12"/>
  <c r="M701" i="12" s="1"/>
  <c r="I701" i="12"/>
  <c r="J701" i="12" s="1"/>
  <c r="F701" i="12"/>
  <c r="M700" i="12"/>
  <c r="L700" i="12"/>
  <c r="J700" i="12"/>
  <c r="I700" i="12"/>
  <c r="F700" i="12"/>
  <c r="L699" i="12"/>
  <c r="M699" i="12" s="1"/>
  <c r="I699" i="12"/>
  <c r="J699" i="12" s="1"/>
  <c r="F699" i="12"/>
  <c r="M698" i="12"/>
  <c r="L698" i="12"/>
  <c r="J698" i="12"/>
  <c r="I698" i="12"/>
  <c r="F698" i="12"/>
  <c r="L697" i="12"/>
  <c r="M697" i="12" s="1"/>
  <c r="I697" i="12"/>
  <c r="J697" i="12" s="1"/>
  <c r="F697" i="12"/>
  <c r="M696" i="12"/>
  <c r="L696" i="12"/>
  <c r="J696" i="12"/>
  <c r="I696" i="12"/>
  <c r="F696" i="12"/>
  <c r="L695" i="12"/>
  <c r="M695" i="12" s="1"/>
  <c r="I695" i="12"/>
  <c r="J695" i="12" s="1"/>
  <c r="F695" i="12"/>
  <c r="M694" i="12"/>
  <c r="M703" i="12" s="1"/>
  <c r="L694" i="12"/>
  <c r="L703" i="12" s="1"/>
  <c r="J694" i="12"/>
  <c r="I694" i="12"/>
  <c r="F694" i="12"/>
  <c r="F703" i="12" s="1"/>
  <c r="L692" i="12"/>
  <c r="K692" i="12"/>
  <c r="L691" i="12"/>
  <c r="M691" i="12" s="1"/>
  <c r="I691" i="12"/>
  <c r="J691" i="12" s="1"/>
  <c r="F691" i="12"/>
  <c r="M690" i="12"/>
  <c r="L690" i="12"/>
  <c r="J690" i="12"/>
  <c r="I690" i="12"/>
  <c r="F690" i="12"/>
  <c r="L689" i="12"/>
  <c r="M689" i="12" s="1"/>
  <c r="I689" i="12"/>
  <c r="J689" i="12" s="1"/>
  <c r="F689" i="12"/>
  <c r="M688" i="12"/>
  <c r="L688" i="12"/>
  <c r="J688" i="12"/>
  <c r="I688" i="12"/>
  <c r="F688" i="12"/>
  <c r="L686" i="12"/>
  <c r="M686" i="12" s="1"/>
  <c r="I686" i="12"/>
  <c r="J686" i="12" s="1"/>
  <c r="F686" i="12"/>
  <c r="M685" i="12"/>
  <c r="L685" i="12"/>
  <c r="J685" i="12"/>
  <c r="I685" i="12"/>
  <c r="F685" i="12"/>
  <c r="L684" i="12"/>
  <c r="M684" i="12" s="1"/>
  <c r="I684" i="12"/>
  <c r="J684" i="12" s="1"/>
  <c r="F684" i="12"/>
  <c r="M683" i="12"/>
  <c r="L683" i="12"/>
  <c r="J683" i="12"/>
  <c r="I683" i="12"/>
  <c r="F683" i="12"/>
  <c r="L682" i="12"/>
  <c r="M682" i="12" s="1"/>
  <c r="I682" i="12"/>
  <c r="J682" i="12" s="1"/>
  <c r="F682" i="12"/>
  <c r="M681" i="12"/>
  <c r="L681" i="12"/>
  <c r="J681" i="12"/>
  <c r="I681" i="12"/>
  <c r="F681" i="12"/>
  <c r="F692" i="12" s="1"/>
  <c r="L680" i="12"/>
  <c r="M680" i="12" s="1"/>
  <c r="M692" i="12" s="1"/>
  <c r="I680" i="12"/>
  <c r="J680" i="12" s="1"/>
  <c r="F680" i="12"/>
  <c r="K677" i="12"/>
  <c r="M676" i="12"/>
  <c r="M677" i="12" s="1"/>
  <c r="L676" i="12"/>
  <c r="L677" i="12" s="1"/>
  <c r="J676" i="12"/>
  <c r="I676" i="12"/>
  <c r="F676" i="12"/>
  <c r="F677" i="12" s="1"/>
  <c r="K674" i="12"/>
  <c r="L673" i="12"/>
  <c r="I673" i="12"/>
  <c r="J673" i="12" s="1"/>
  <c r="F673" i="12"/>
  <c r="M672" i="12"/>
  <c r="L672" i="12"/>
  <c r="J672" i="12"/>
  <c r="I672" i="12"/>
  <c r="F672" i="12"/>
  <c r="F674" i="12" s="1"/>
  <c r="K670" i="12"/>
  <c r="F670" i="12"/>
  <c r="L669" i="12"/>
  <c r="I669" i="12"/>
  <c r="J669" i="12" s="1"/>
  <c r="F669" i="12"/>
  <c r="K667" i="12"/>
  <c r="M666" i="12"/>
  <c r="L666" i="12"/>
  <c r="J666" i="12"/>
  <c r="I666" i="12"/>
  <c r="F666" i="12"/>
  <c r="L665" i="12"/>
  <c r="I665" i="12"/>
  <c r="J665" i="12" s="1"/>
  <c r="F665" i="12"/>
  <c r="M664" i="12"/>
  <c r="L664" i="12"/>
  <c r="J664" i="12"/>
  <c r="I664" i="12"/>
  <c r="F664" i="12"/>
  <c r="F667" i="12" s="1"/>
  <c r="K662" i="12"/>
  <c r="L661" i="12"/>
  <c r="M661" i="12" s="1"/>
  <c r="I661" i="12"/>
  <c r="J661" i="12" s="1"/>
  <c r="F661" i="12"/>
  <c r="M660" i="12"/>
  <c r="L660" i="12"/>
  <c r="J660" i="12"/>
  <c r="I660" i="12"/>
  <c r="F660" i="12"/>
  <c r="F662" i="12" s="1"/>
  <c r="L659" i="12"/>
  <c r="I659" i="12"/>
  <c r="J659" i="12" s="1"/>
  <c r="F659" i="12"/>
  <c r="K657" i="12"/>
  <c r="M656" i="12"/>
  <c r="L656" i="12"/>
  <c r="J656" i="12"/>
  <c r="I656" i="12"/>
  <c r="F656" i="12"/>
  <c r="L655" i="12"/>
  <c r="M655" i="12" s="1"/>
  <c r="I655" i="12"/>
  <c r="J655" i="12" s="1"/>
  <c r="F655" i="12"/>
  <c r="M654" i="12"/>
  <c r="L654" i="12"/>
  <c r="J654" i="12"/>
  <c r="I654" i="12"/>
  <c r="F654" i="12"/>
  <c r="L653" i="12"/>
  <c r="M653" i="12" s="1"/>
  <c r="I653" i="12"/>
  <c r="J653" i="12" s="1"/>
  <c r="F653" i="12"/>
  <c r="M652" i="12"/>
  <c r="L652" i="12"/>
  <c r="J652" i="12"/>
  <c r="I652" i="12"/>
  <c r="F652" i="12"/>
  <c r="F657" i="12" s="1"/>
  <c r="L651" i="12"/>
  <c r="I651" i="12"/>
  <c r="J651" i="12" s="1"/>
  <c r="F651" i="12"/>
  <c r="K647" i="12"/>
  <c r="M646" i="12"/>
  <c r="L646" i="12"/>
  <c r="J646" i="12"/>
  <c r="I646" i="12"/>
  <c r="F646" i="12"/>
  <c r="L645" i="12"/>
  <c r="M645" i="12" s="1"/>
  <c r="I645" i="12"/>
  <c r="J645" i="12" s="1"/>
  <c r="F645" i="12"/>
  <c r="M644" i="12"/>
  <c r="L644" i="12"/>
  <c r="J644" i="12"/>
  <c r="I644" i="12"/>
  <c r="F644" i="12"/>
  <c r="L643" i="12"/>
  <c r="M643" i="12" s="1"/>
  <c r="I643" i="12"/>
  <c r="J643" i="12" s="1"/>
  <c r="F643" i="12"/>
  <c r="M642" i="12"/>
  <c r="L642" i="12"/>
  <c r="J642" i="12"/>
  <c r="I642" i="12"/>
  <c r="F642" i="12"/>
  <c r="L641" i="12"/>
  <c r="M641" i="12" s="1"/>
  <c r="I641" i="12"/>
  <c r="J641" i="12" s="1"/>
  <c r="F641" i="12"/>
  <c r="M640" i="12"/>
  <c r="L640" i="12"/>
  <c r="J640" i="12"/>
  <c r="I640" i="12"/>
  <c r="F640" i="12"/>
  <c r="L639" i="12"/>
  <c r="M639" i="12" s="1"/>
  <c r="I639" i="12"/>
  <c r="J639" i="12" s="1"/>
  <c r="F639" i="12"/>
  <c r="M638" i="12"/>
  <c r="L638" i="12"/>
  <c r="L647" i="12" s="1"/>
  <c r="J638" i="12"/>
  <c r="I638" i="12"/>
  <c r="F638" i="12"/>
  <c r="F647" i="12" s="1"/>
  <c r="K636" i="12"/>
  <c r="L635" i="12"/>
  <c r="M635" i="12" s="1"/>
  <c r="I635" i="12"/>
  <c r="J635" i="12" s="1"/>
  <c r="F635" i="12"/>
  <c r="M634" i="12"/>
  <c r="L634" i="12"/>
  <c r="J634" i="12"/>
  <c r="I634" i="12"/>
  <c r="F634" i="12"/>
  <c r="L633" i="12"/>
  <c r="M633" i="12" s="1"/>
  <c r="I633" i="12"/>
  <c r="J633" i="12" s="1"/>
  <c r="F633" i="12"/>
  <c r="M632" i="12"/>
  <c r="L632" i="12"/>
  <c r="J632" i="12"/>
  <c r="I632" i="12"/>
  <c r="F632" i="12"/>
  <c r="L631" i="12"/>
  <c r="M631" i="12" s="1"/>
  <c r="I631" i="12"/>
  <c r="J631" i="12" s="1"/>
  <c r="F631" i="12"/>
  <c r="M629" i="12"/>
  <c r="L629" i="12"/>
  <c r="J629" i="12"/>
  <c r="I629" i="12"/>
  <c r="F629" i="12"/>
  <c r="L628" i="12"/>
  <c r="M628" i="12" s="1"/>
  <c r="I628" i="12"/>
  <c r="J628" i="12" s="1"/>
  <c r="F628" i="12"/>
  <c r="M627" i="12"/>
  <c r="L627" i="12"/>
  <c r="J627" i="12"/>
  <c r="I627" i="12"/>
  <c r="F627" i="12"/>
  <c r="L626" i="12"/>
  <c r="M626" i="12" s="1"/>
  <c r="I626" i="12"/>
  <c r="J626" i="12" s="1"/>
  <c r="F626" i="12"/>
  <c r="M625" i="12"/>
  <c r="L625" i="12"/>
  <c r="J625" i="12"/>
  <c r="I625" i="12"/>
  <c r="F625" i="12"/>
  <c r="F636" i="12" s="1"/>
  <c r="L624" i="12"/>
  <c r="I624" i="12"/>
  <c r="J624" i="12" s="1"/>
  <c r="F624" i="12"/>
  <c r="K621" i="12"/>
  <c r="M620" i="12"/>
  <c r="M621" i="12" s="1"/>
  <c r="L620" i="12"/>
  <c r="L621" i="12" s="1"/>
  <c r="J620" i="12"/>
  <c r="I620" i="12"/>
  <c r="F620" i="12"/>
  <c r="F621" i="12" s="1"/>
  <c r="K618" i="12"/>
  <c r="L617" i="12"/>
  <c r="I617" i="12"/>
  <c r="J617" i="12" s="1"/>
  <c r="F617" i="12"/>
  <c r="M616" i="12"/>
  <c r="L616" i="12"/>
  <c r="J616" i="12"/>
  <c r="I616" i="12"/>
  <c r="F616" i="12"/>
  <c r="F618" i="12" s="1"/>
  <c r="L614" i="12"/>
  <c r="K614" i="12"/>
  <c r="F614" i="12"/>
  <c r="L613" i="12"/>
  <c r="M613" i="12" s="1"/>
  <c r="M614" i="12" s="1"/>
  <c r="I613" i="12"/>
  <c r="J613" i="12" s="1"/>
  <c r="F613" i="12"/>
  <c r="K611" i="12"/>
  <c r="M610" i="12"/>
  <c r="L610" i="12"/>
  <c r="J610" i="12"/>
  <c r="I610" i="12"/>
  <c r="F610" i="12"/>
  <c r="L609" i="12"/>
  <c r="I609" i="12"/>
  <c r="J609" i="12" s="1"/>
  <c r="F609" i="12"/>
  <c r="M608" i="12"/>
  <c r="L608" i="12"/>
  <c r="J608" i="12"/>
  <c r="I608" i="12"/>
  <c r="F608" i="12"/>
  <c r="F611" i="12" s="1"/>
  <c r="K606" i="12"/>
  <c r="L605" i="12"/>
  <c r="M605" i="12" s="1"/>
  <c r="I605" i="12"/>
  <c r="J605" i="12" s="1"/>
  <c r="F605" i="12"/>
  <c r="M604" i="12"/>
  <c r="L604" i="12"/>
  <c r="J604" i="12"/>
  <c r="I604" i="12"/>
  <c r="F604" i="12"/>
  <c r="F606" i="12" s="1"/>
  <c r="L603" i="12"/>
  <c r="I603" i="12"/>
  <c r="J603" i="12" s="1"/>
  <c r="F603" i="12"/>
  <c r="K601" i="12"/>
  <c r="M600" i="12"/>
  <c r="L600" i="12"/>
  <c r="J600" i="12"/>
  <c r="I600" i="12"/>
  <c r="F600" i="12"/>
  <c r="L599" i="12"/>
  <c r="M599" i="12" s="1"/>
  <c r="I599" i="12"/>
  <c r="J599" i="12" s="1"/>
  <c r="F599" i="12"/>
  <c r="M598" i="12"/>
  <c r="L598" i="12"/>
  <c r="J598" i="12"/>
  <c r="I598" i="12"/>
  <c r="F598" i="12"/>
  <c r="L597" i="12"/>
  <c r="M597" i="12" s="1"/>
  <c r="I597" i="12"/>
  <c r="J597" i="12" s="1"/>
  <c r="F597" i="12"/>
  <c r="M596" i="12"/>
  <c r="L596" i="12"/>
  <c r="J596" i="12"/>
  <c r="I596" i="12"/>
  <c r="F596" i="12"/>
  <c r="F601" i="12" s="1"/>
  <c r="L595" i="12"/>
  <c r="I595" i="12"/>
  <c r="J595" i="12" s="1"/>
  <c r="F595" i="12"/>
  <c r="K584" i="12"/>
  <c r="H583" i="12"/>
  <c r="F583" i="12"/>
  <c r="F584" i="12" s="1"/>
  <c r="K581" i="12"/>
  <c r="H580" i="12"/>
  <c r="F580" i="12"/>
  <c r="L579" i="12"/>
  <c r="M579" i="12" s="1"/>
  <c r="H579" i="12"/>
  <c r="I579" i="12" s="1"/>
  <c r="J579" i="12" s="1"/>
  <c r="F579" i="12"/>
  <c r="H578" i="12"/>
  <c r="F578" i="12"/>
  <c r="H577" i="12"/>
  <c r="F577" i="12"/>
  <c r="M576" i="12"/>
  <c r="I576" i="12"/>
  <c r="J576" i="12" s="1"/>
  <c r="H576" i="12"/>
  <c r="L576" i="12" s="1"/>
  <c r="F576" i="12"/>
  <c r="K573" i="12"/>
  <c r="L572" i="12"/>
  <c r="M572" i="12" s="1"/>
  <c r="J572" i="12"/>
  <c r="H572" i="12"/>
  <c r="I572" i="12" s="1"/>
  <c r="F572" i="12"/>
  <c r="M571" i="12"/>
  <c r="H571" i="12"/>
  <c r="L571" i="12" s="1"/>
  <c r="F571" i="12"/>
  <c r="H570" i="12"/>
  <c r="F570" i="12"/>
  <c r="I569" i="12"/>
  <c r="J569" i="12" s="1"/>
  <c r="H569" i="12"/>
  <c r="L569" i="12" s="1"/>
  <c r="M569" i="12" s="1"/>
  <c r="F569" i="12"/>
  <c r="L568" i="12"/>
  <c r="M568" i="12" s="1"/>
  <c r="J568" i="12"/>
  <c r="H568" i="12"/>
  <c r="I568" i="12" s="1"/>
  <c r="F568" i="12"/>
  <c r="M567" i="12"/>
  <c r="H567" i="12"/>
  <c r="L567" i="12" s="1"/>
  <c r="F567" i="12"/>
  <c r="H566" i="12"/>
  <c r="F566" i="12"/>
  <c r="H565" i="12"/>
  <c r="F565" i="12"/>
  <c r="L564" i="12"/>
  <c r="M564" i="12" s="1"/>
  <c r="J564" i="12"/>
  <c r="H564" i="12"/>
  <c r="I564" i="12" s="1"/>
  <c r="F564" i="12"/>
  <c r="K562" i="12"/>
  <c r="M561" i="12"/>
  <c r="J561" i="12"/>
  <c r="I561" i="12"/>
  <c r="H561" i="12"/>
  <c r="L561" i="12" s="1"/>
  <c r="F561" i="12"/>
  <c r="M560" i="12"/>
  <c r="L560" i="12"/>
  <c r="H560" i="12"/>
  <c r="I560" i="12" s="1"/>
  <c r="J560" i="12" s="1"/>
  <c r="F560" i="12"/>
  <c r="H559" i="12"/>
  <c r="F559" i="12"/>
  <c r="H558" i="12"/>
  <c r="F558" i="12"/>
  <c r="M556" i="12"/>
  <c r="I556" i="12"/>
  <c r="J556" i="12" s="1"/>
  <c r="H556" i="12"/>
  <c r="L556" i="12" s="1"/>
  <c r="F556" i="12"/>
  <c r="L555" i="12"/>
  <c r="M555" i="12" s="1"/>
  <c r="H555" i="12"/>
  <c r="I555" i="12" s="1"/>
  <c r="J555" i="12" s="1"/>
  <c r="F555" i="12"/>
  <c r="H554" i="12"/>
  <c r="F554" i="12"/>
  <c r="H553" i="12"/>
  <c r="F553" i="12"/>
  <c r="M552" i="12"/>
  <c r="I552" i="12"/>
  <c r="J552" i="12" s="1"/>
  <c r="H552" i="12"/>
  <c r="L552" i="12" s="1"/>
  <c r="F552" i="12"/>
  <c r="L551" i="12"/>
  <c r="M551" i="12" s="1"/>
  <c r="H551" i="12"/>
  <c r="I551" i="12" s="1"/>
  <c r="J551" i="12" s="1"/>
  <c r="F551" i="12"/>
  <c r="H550" i="12"/>
  <c r="F550" i="12"/>
  <c r="K547" i="12"/>
  <c r="H546" i="12"/>
  <c r="F546" i="12"/>
  <c r="H545" i="12"/>
  <c r="L545" i="12" s="1"/>
  <c r="M545" i="12" s="1"/>
  <c r="F545" i="12"/>
  <c r="L544" i="12"/>
  <c r="J544" i="12"/>
  <c r="H544" i="12"/>
  <c r="I544" i="12" s="1"/>
  <c r="F544" i="12"/>
  <c r="K541" i="12"/>
  <c r="M540" i="12"/>
  <c r="J540" i="12"/>
  <c r="I540" i="12"/>
  <c r="H540" i="12"/>
  <c r="L540" i="12" s="1"/>
  <c r="F540" i="12"/>
  <c r="M539" i="12"/>
  <c r="L539" i="12"/>
  <c r="H539" i="12"/>
  <c r="I539" i="12" s="1"/>
  <c r="J539" i="12" s="1"/>
  <c r="F539" i="12"/>
  <c r="H538" i="12"/>
  <c r="F538" i="12"/>
  <c r="H537" i="12"/>
  <c r="F537" i="12"/>
  <c r="M536" i="12"/>
  <c r="I536" i="12"/>
  <c r="J536" i="12" s="1"/>
  <c r="H536" i="12"/>
  <c r="L536" i="12" s="1"/>
  <c r="F536" i="12"/>
  <c r="L535" i="12"/>
  <c r="H535" i="12"/>
  <c r="I535" i="12" s="1"/>
  <c r="J535" i="12" s="1"/>
  <c r="F535" i="12"/>
  <c r="K533" i="12"/>
  <c r="M532" i="12"/>
  <c r="H532" i="12"/>
  <c r="L532" i="12" s="1"/>
  <c r="F532" i="12"/>
  <c r="H531" i="12"/>
  <c r="F531" i="12"/>
  <c r="F533" i="12" s="1"/>
  <c r="I530" i="12"/>
  <c r="J530" i="12" s="1"/>
  <c r="H530" i="12"/>
  <c r="L530" i="12" s="1"/>
  <c r="F530" i="12"/>
  <c r="K528" i="12"/>
  <c r="H527" i="12"/>
  <c r="F527" i="12"/>
  <c r="F528" i="12" s="1"/>
  <c r="K525" i="12"/>
  <c r="F525" i="12"/>
  <c r="H524" i="12"/>
  <c r="L524" i="12" s="1"/>
  <c r="M524" i="12" s="1"/>
  <c r="F524" i="12"/>
  <c r="L523" i="12"/>
  <c r="M523" i="12" s="1"/>
  <c r="J523" i="12"/>
  <c r="H523" i="12"/>
  <c r="I523" i="12" s="1"/>
  <c r="F523" i="12"/>
  <c r="M522" i="12"/>
  <c r="H522" i="12"/>
  <c r="L522" i="12" s="1"/>
  <c r="F522" i="12"/>
  <c r="H521" i="12"/>
  <c r="F521" i="12"/>
  <c r="I520" i="12"/>
  <c r="J520" i="12" s="1"/>
  <c r="H520" i="12"/>
  <c r="L520" i="12" s="1"/>
  <c r="F520" i="12"/>
  <c r="K517" i="12"/>
  <c r="H516" i="12"/>
  <c r="F516" i="12"/>
  <c r="M515" i="12"/>
  <c r="J515" i="12"/>
  <c r="I515" i="12"/>
  <c r="H515" i="12"/>
  <c r="L515" i="12" s="1"/>
  <c r="F515" i="12"/>
  <c r="M514" i="12"/>
  <c r="L514" i="12"/>
  <c r="H514" i="12"/>
  <c r="I514" i="12" s="1"/>
  <c r="J514" i="12" s="1"/>
  <c r="F514" i="12"/>
  <c r="H513" i="12"/>
  <c r="F513" i="12"/>
  <c r="H512" i="12"/>
  <c r="F512" i="12"/>
  <c r="M511" i="12"/>
  <c r="J511" i="12"/>
  <c r="I511" i="12"/>
  <c r="H511" i="12"/>
  <c r="L511" i="12" s="1"/>
  <c r="F511" i="12"/>
  <c r="M510" i="12"/>
  <c r="L510" i="12"/>
  <c r="H510" i="12"/>
  <c r="I510" i="12" s="1"/>
  <c r="J510" i="12" s="1"/>
  <c r="F510" i="12"/>
  <c r="H509" i="12"/>
  <c r="F509" i="12"/>
  <c r="H508" i="12"/>
  <c r="F508" i="12"/>
  <c r="K506" i="12"/>
  <c r="H505" i="12"/>
  <c r="L505" i="12" s="1"/>
  <c r="M505" i="12" s="1"/>
  <c r="F505" i="12"/>
  <c r="L504" i="12"/>
  <c r="M504" i="12" s="1"/>
  <c r="J504" i="12"/>
  <c r="H504" i="12"/>
  <c r="I504" i="12" s="1"/>
  <c r="F504" i="12"/>
  <c r="M503" i="12"/>
  <c r="H503" i="12"/>
  <c r="L503" i="12" s="1"/>
  <c r="F503" i="12"/>
  <c r="H502" i="12"/>
  <c r="F502" i="12"/>
  <c r="H500" i="12"/>
  <c r="L500" i="12" s="1"/>
  <c r="M500" i="12" s="1"/>
  <c r="F500" i="12"/>
  <c r="L499" i="12"/>
  <c r="M499" i="12" s="1"/>
  <c r="J499" i="12"/>
  <c r="H499" i="12"/>
  <c r="I499" i="12" s="1"/>
  <c r="F499" i="12"/>
  <c r="M498" i="12"/>
  <c r="H498" i="12"/>
  <c r="L498" i="12" s="1"/>
  <c r="F498" i="12"/>
  <c r="H497" i="12"/>
  <c r="F497" i="12"/>
  <c r="L496" i="12"/>
  <c r="M496" i="12" s="1"/>
  <c r="J496" i="12"/>
  <c r="I496" i="12"/>
  <c r="H496" i="12"/>
  <c r="F496" i="12"/>
  <c r="H495" i="12"/>
  <c r="I495" i="12" s="1"/>
  <c r="J495" i="12" s="1"/>
  <c r="F495" i="12"/>
  <c r="F506" i="12" s="1"/>
  <c r="L494" i="12"/>
  <c r="I494" i="12"/>
  <c r="J494" i="12" s="1"/>
  <c r="H494" i="12"/>
  <c r="F494" i="12"/>
  <c r="K491" i="12"/>
  <c r="H490" i="12"/>
  <c r="I490" i="12" s="1"/>
  <c r="J490" i="12" s="1"/>
  <c r="F490" i="12"/>
  <c r="L489" i="12"/>
  <c r="M489" i="12" s="1"/>
  <c r="I489" i="12"/>
  <c r="J489" i="12" s="1"/>
  <c r="H489" i="12"/>
  <c r="F489" i="12"/>
  <c r="H488" i="12"/>
  <c r="F488" i="12"/>
  <c r="F491" i="12" s="1"/>
  <c r="K486" i="12"/>
  <c r="F486" i="12"/>
  <c r="L485" i="12"/>
  <c r="M485" i="12" s="1"/>
  <c r="M486" i="12" s="1"/>
  <c r="J485" i="12"/>
  <c r="I485" i="12"/>
  <c r="H485" i="12"/>
  <c r="F485" i="12"/>
  <c r="K483" i="12"/>
  <c r="L482" i="12"/>
  <c r="M482" i="12" s="1"/>
  <c r="H482" i="12"/>
  <c r="I482" i="12" s="1"/>
  <c r="J482" i="12" s="1"/>
  <c r="F482" i="12"/>
  <c r="L481" i="12"/>
  <c r="M481" i="12" s="1"/>
  <c r="J481" i="12"/>
  <c r="I481" i="12"/>
  <c r="H481" i="12"/>
  <c r="F481" i="12"/>
  <c r="H480" i="12"/>
  <c r="I480" i="12" s="1"/>
  <c r="J480" i="12" s="1"/>
  <c r="F480" i="12"/>
  <c r="F483" i="12" s="1"/>
  <c r="K477" i="12"/>
  <c r="L476" i="12"/>
  <c r="M476" i="12" s="1"/>
  <c r="J476" i="12"/>
  <c r="I476" i="12"/>
  <c r="H476" i="12"/>
  <c r="F476" i="12"/>
  <c r="M475" i="12"/>
  <c r="L475" i="12"/>
  <c r="H475" i="12"/>
  <c r="I475" i="12" s="1"/>
  <c r="J475" i="12" s="1"/>
  <c r="F475" i="12"/>
  <c r="L474" i="12"/>
  <c r="M474" i="12" s="1"/>
  <c r="J474" i="12"/>
  <c r="I474" i="12"/>
  <c r="H474" i="12"/>
  <c r="F474" i="12"/>
  <c r="H473" i="12"/>
  <c r="I473" i="12" s="1"/>
  <c r="J473" i="12" s="1"/>
  <c r="F473" i="12"/>
  <c r="L472" i="12"/>
  <c r="M472" i="12" s="1"/>
  <c r="I472" i="12"/>
  <c r="J472" i="12" s="1"/>
  <c r="H472" i="12"/>
  <c r="F472" i="12"/>
  <c r="H470" i="12"/>
  <c r="F470" i="12"/>
  <c r="L469" i="12"/>
  <c r="M469" i="12" s="1"/>
  <c r="I469" i="12"/>
  <c r="J469" i="12" s="1"/>
  <c r="H469" i="12"/>
  <c r="F469" i="12"/>
  <c r="H468" i="12"/>
  <c r="I468" i="12" s="1"/>
  <c r="J468" i="12" s="1"/>
  <c r="F468" i="12"/>
  <c r="F477" i="12" s="1"/>
  <c r="K465" i="12"/>
  <c r="L464" i="12"/>
  <c r="M464" i="12" s="1"/>
  <c r="I464" i="12"/>
  <c r="J464" i="12" s="1"/>
  <c r="H464" i="12"/>
  <c r="F464" i="12"/>
  <c r="H463" i="12"/>
  <c r="F463" i="12"/>
  <c r="F465" i="12" s="1"/>
  <c r="L462" i="12"/>
  <c r="M462" i="12" s="1"/>
  <c r="I462" i="12"/>
  <c r="J462" i="12" s="1"/>
  <c r="H462" i="12"/>
  <c r="F462" i="12"/>
  <c r="K460" i="12"/>
  <c r="H459" i="12"/>
  <c r="F459" i="12"/>
  <c r="L458" i="12"/>
  <c r="M458" i="12" s="1"/>
  <c r="I458" i="12"/>
  <c r="J458" i="12" s="1"/>
  <c r="H458" i="12"/>
  <c r="F458" i="12"/>
  <c r="L457" i="12"/>
  <c r="M457" i="12" s="1"/>
  <c r="H457" i="12"/>
  <c r="I457" i="12" s="1"/>
  <c r="J457" i="12" s="1"/>
  <c r="F457" i="12"/>
  <c r="K455" i="12"/>
  <c r="L454" i="12"/>
  <c r="M454" i="12" s="1"/>
  <c r="I454" i="12"/>
  <c r="J454" i="12" s="1"/>
  <c r="H454" i="12"/>
  <c r="F454" i="12"/>
  <c r="L453" i="12"/>
  <c r="M453" i="12" s="1"/>
  <c r="I453" i="12"/>
  <c r="J453" i="12" s="1"/>
  <c r="H453" i="12"/>
  <c r="F453" i="12"/>
  <c r="L452" i="12"/>
  <c r="M452" i="12" s="1"/>
  <c r="J452" i="12"/>
  <c r="I452" i="12"/>
  <c r="H452" i="12"/>
  <c r="F452" i="12"/>
  <c r="H451" i="12"/>
  <c r="F451" i="12"/>
  <c r="F455" i="12" s="1"/>
  <c r="L450" i="12"/>
  <c r="M450" i="12" s="1"/>
  <c r="I450" i="12"/>
  <c r="J450" i="12" s="1"/>
  <c r="H450" i="12"/>
  <c r="F450" i="12"/>
  <c r="L449" i="12"/>
  <c r="I449" i="12"/>
  <c r="J449" i="12" s="1"/>
  <c r="H449" i="12"/>
  <c r="F449" i="12"/>
  <c r="K447" i="12"/>
  <c r="L446" i="12"/>
  <c r="M446" i="12" s="1"/>
  <c r="J446" i="12"/>
  <c r="I446" i="12"/>
  <c r="H446" i="12"/>
  <c r="F446" i="12"/>
  <c r="M445" i="12"/>
  <c r="L445" i="12"/>
  <c r="H445" i="12"/>
  <c r="I445" i="12" s="1"/>
  <c r="J445" i="12" s="1"/>
  <c r="F445" i="12"/>
  <c r="L444" i="12"/>
  <c r="M444" i="12" s="1"/>
  <c r="M447" i="12" s="1"/>
  <c r="I444" i="12"/>
  <c r="J444" i="12" s="1"/>
  <c r="H444" i="12"/>
  <c r="F444" i="12"/>
  <c r="F447" i="12" s="1"/>
  <c r="K440" i="12"/>
  <c r="F440" i="12"/>
  <c r="H439" i="12"/>
  <c r="L439" i="12" s="1"/>
  <c r="F439" i="12"/>
  <c r="K437" i="12"/>
  <c r="L436" i="12"/>
  <c r="M436" i="12" s="1"/>
  <c r="I436" i="12"/>
  <c r="J436" i="12" s="1"/>
  <c r="H436" i="12"/>
  <c r="F436" i="12"/>
  <c r="L435" i="12"/>
  <c r="M435" i="12" s="1"/>
  <c r="I435" i="12"/>
  <c r="J435" i="12" s="1"/>
  <c r="H435" i="12"/>
  <c r="F435" i="12"/>
  <c r="L434" i="12"/>
  <c r="J434" i="12"/>
  <c r="I434" i="12"/>
  <c r="H434" i="12"/>
  <c r="F434" i="12"/>
  <c r="F437" i="12" s="1"/>
  <c r="K432" i="12"/>
  <c r="F432" i="12"/>
  <c r="H431" i="12"/>
  <c r="F431" i="12"/>
  <c r="L430" i="12"/>
  <c r="I430" i="12"/>
  <c r="J430" i="12" s="1"/>
  <c r="H430" i="12"/>
  <c r="F430" i="12"/>
  <c r="K422" i="12"/>
  <c r="F422" i="12"/>
  <c r="H421" i="12"/>
  <c r="L421" i="12" s="1"/>
  <c r="F421" i="12"/>
  <c r="K419" i="12"/>
  <c r="L418" i="12"/>
  <c r="M418" i="12" s="1"/>
  <c r="I418" i="12"/>
  <c r="J418" i="12" s="1"/>
  <c r="H418" i="12"/>
  <c r="F418" i="12"/>
  <c r="L417" i="12"/>
  <c r="M417" i="12" s="1"/>
  <c r="I417" i="12"/>
  <c r="J417" i="12" s="1"/>
  <c r="H417" i="12"/>
  <c r="F417" i="12"/>
  <c r="L416" i="12"/>
  <c r="M416" i="12" s="1"/>
  <c r="J416" i="12"/>
  <c r="I416" i="12"/>
  <c r="H416" i="12"/>
  <c r="F416" i="12"/>
  <c r="H415" i="12"/>
  <c r="F415" i="12"/>
  <c r="F419" i="12" s="1"/>
  <c r="L414" i="12"/>
  <c r="M414" i="12" s="1"/>
  <c r="I414" i="12"/>
  <c r="J414" i="12" s="1"/>
  <c r="H414" i="12"/>
  <c r="F414" i="12"/>
  <c r="K411" i="12"/>
  <c r="L410" i="12"/>
  <c r="M410" i="12" s="1"/>
  <c r="I410" i="12"/>
  <c r="J410" i="12" s="1"/>
  <c r="H410" i="12"/>
  <c r="F410" i="12"/>
  <c r="L409" i="12"/>
  <c r="M409" i="12" s="1"/>
  <c r="J409" i="12"/>
  <c r="I409" i="12"/>
  <c r="H409" i="12"/>
  <c r="F409" i="12"/>
  <c r="H408" i="12"/>
  <c r="F408" i="12"/>
  <c r="F411" i="12" s="1"/>
  <c r="K406" i="12"/>
  <c r="L405" i="12"/>
  <c r="I405" i="12"/>
  <c r="J405" i="12" s="1"/>
  <c r="H405" i="12"/>
  <c r="F405" i="12"/>
  <c r="F406" i="12" s="1"/>
  <c r="K403" i="12"/>
  <c r="H402" i="12"/>
  <c r="L402" i="12" s="1"/>
  <c r="M402" i="12" s="1"/>
  <c r="F402" i="12"/>
  <c r="L401" i="12"/>
  <c r="M401" i="12" s="1"/>
  <c r="I401" i="12"/>
  <c r="J401" i="12" s="1"/>
  <c r="H401" i="12"/>
  <c r="F401" i="12"/>
  <c r="L400" i="12"/>
  <c r="M400" i="12" s="1"/>
  <c r="H400" i="12"/>
  <c r="I400" i="12" s="1"/>
  <c r="J400" i="12" s="1"/>
  <c r="F400" i="12"/>
  <c r="L399" i="12"/>
  <c r="M399" i="12" s="1"/>
  <c r="I399" i="12"/>
  <c r="J399" i="12" s="1"/>
  <c r="H399" i="12"/>
  <c r="F399" i="12"/>
  <c r="F403" i="12" s="1"/>
  <c r="H398" i="12"/>
  <c r="L398" i="12" s="1"/>
  <c r="F398" i="12"/>
  <c r="K395" i="12"/>
  <c r="L394" i="12"/>
  <c r="M394" i="12" s="1"/>
  <c r="I394" i="12"/>
  <c r="J394" i="12" s="1"/>
  <c r="H394" i="12"/>
  <c r="F394" i="12"/>
  <c r="L393" i="12"/>
  <c r="M393" i="12" s="1"/>
  <c r="I393" i="12"/>
  <c r="J393" i="12" s="1"/>
  <c r="H393" i="12"/>
  <c r="F393" i="12"/>
  <c r="L392" i="12"/>
  <c r="M392" i="12" s="1"/>
  <c r="J392" i="12"/>
  <c r="I392" i="12"/>
  <c r="H392" i="12"/>
  <c r="F392" i="12"/>
  <c r="H391" i="12"/>
  <c r="F391" i="12"/>
  <c r="H390" i="12"/>
  <c r="L390" i="12" s="1"/>
  <c r="M390" i="12" s="1"/>
  <c r="F390" i="12"/>
  <c r="L389" i="12"/>
  <c r="M389" i="12" s="1"/>
  <c r="H389" i="12"/>
  <c r="I389" i="12" s="1"/>
  <c r="J389" i="12" s="1"/>
  <c r="F389" i="12"/>
  <c r="H388" i="12"/>
  <c r="L388" i="12" s="1"/>
  <c r="M388" i="12" s="1"/>
  <c r="F388" i="12"/>
  <c r="L387" i="12"/>
  <c r="M387" i="12" s="1"/>
  <c r="H387" i="12"/>
  <c r="I387" i="12" s="1"/>
  <c r="J387" i="12" s="1"/>
  <c r="F387" i="12"/>
  <c r="F395" i="12" s="1"/>
  <c r="H386" i="12"/>
  <c r="L386" i="12" s="1"/>
  <c r="F386" i="12"/>
  <c r="K384" i="12"/>
  <c r="L383" i="12"/>
  <c r="M383" i="12" s="1"/>
  <c r="J383" i="12"/>
  <c r="H383" i="12"/>
  <c r="I383" i="12" s="1"/>
  <c r="F383" i="12"/>
  <c r="M382" i="12"/>
  <c r="I382" i="12"/>
  <c r="J382" i="12" s="1"/>
  <c r="H382" i="12"/>
  <c r="L382" i="12" s="1"/>
  <c r="F382" i="12"/>
  <c r="L381" i="12"/>
  <c r="M381" i="12" s="1"/>
  <c r="M384" i="12" s="1"/>
  <c r="J381" i="12"/>
  <c r="H381" i="12"/>
  <c r="I381" i="12" s="1"/>
  <c r="F381" i="12"/>
  <c r="F384" i="12" s="1"/>
  <c r="M379" i="12"/>
  <c r="K379" i="12"/>
  <c r="M378" i="12"/>
  <c r="I378" i="12"/>
  <c r="J378" i="12" s="1"/>
  <c r="H378" i="12"/>
  <c r="L378" i="12" s="1"/>
  <c r="F378" i="12"/>
  <c r="L377" i="12"/>
  <c r="M377" i="12" s="1"/>
  <c r="J377" i="12"/>
  <c r="H377" i="12"/>
  <c r="I377" i="12" s="1"/>
  <c r="F377" i="12"/>
  <c r="F379" i="12" s="1"/>
  <c r="M376" i="12"/>
  <c r="I376" i="12"/>
  <c r="J376" i="12" s="1"/>
  <c r="H376" i="12"/>
  <c r="L376" i="12" s="1"/>
  <c r="F376" i="12"/>
  <c r="L374" i="12"/>
  <c r="K374" i="12"/>
  <c r="L373" i="12"/>
  <c r="M373" i="12" s="1"/>
  <c r="M374" i="12" s="1"/>
  <c r="H373" i="12"/>
  <c r="I373" i="12" s="1"/>
  <c r="J373" i="12" s="1"/>
  <c r="F373" i="12"/>
  <c r="F374" i="12" s="1"/>
  <c r="K371" i="12"/>
  <c r="M370" i="12"/>
  <c r="I370" i="12"/>
  <c r="J370" i="12" s="1"/>
  <c r="H370" i="12"/>
  <c r="L370" i="12" s="1"/>
  <c r="F370" i="12"/>
  <c r="L369" i="12"/>
  <c r="M369" i="12" s="1"/>
  <c r="J369" i="12"/>
  <c r="H369" i="12"/>
  <c r="I369" i="12" s="1"/>
  <c r="F369" i="12"/>
  <c r="M368" i="12"/>
  <c r="I368" i="12"/>
  <c r="J368" i="12" s="1"/>
  <c r="H368" i="12"/>
  <c r="L368" i="12" s="1"/>
  <c r="F368" i="12"/>
  <c r="L367" i="12"/>
  <c r="M367" i="12" s="1"/>
  <c r="J367" i="12"/>
  <c r="H367" i="12"/>
  <c r="I367" i="12" s="1"/>
  <c r="F367" i="12"/>
  <c r="M366" i="12"/>
  <c r="I366" i="12"/>
  <c r="J366" i="12" s="1"/>
  <c r="H366" i="12"/>
  <c r="L366" i="12" s="1"/>
  <c r="F366" i="12"/>
  <c r="L365" i="12"/>
  <c r="J365" i="12"/>
  <c r="H365" i="12"/>
  <c r="I365" i="12" s="1"/>
  <c r="F365" i="12"/>
  <c r="F371" i="12" s="1"/>
  <c r="M362" i="12"/>
  <c r="K362" i="12"/>
  <c r="F362" i="12"/>
  <c r="M361" i="12"/>
  <c r="I361" i="12"/>
  <c r="J361" i="12" s="1"/>
  <c r="H361" i="12"/>
  <c r="L361" i="12" s="1"/>
  <c r="L362" i="12" s="1"/>
  <c r="F361" i="12"/>
  <c r="L352" i="12"/>
  <c r="L353" i="12" s="1"/>
  <c r="K352" i="12"/>
  <c r="M352" i="12" s="1"/>
  <c r="M353" i="12" s="1"/>
  <c r="H352" i="12"/>
  <c r="I352" i="12" s="1"/>
  <c r="J352" i="12" s="1"/>
  <c r="F352" i="12"/>
  <c r="F353" i="12" s="1"/>
  <c r="K351" i="12"/>
  <c r="J351" i="12"/>
  <c r="H351" i="12"/>
  <c r="I351" i="12" s="1"/>
  <c r="F351" i="12"/>
  <c r="K350" i="12"/>
  <c r="J350" i="12"/>
  <c r="I350" i="12"/>
  <c r="H350" i="12"/>
  <c r="L350" i="12" s="1"/>
  <c r="M350" i="12" s="1"/>
  <c r="F350" i="12"/>
  <c r="K349" i="12"/>
  <c r="I349" i="12"/>
  <c r="J349" i="12" s="1"/>
  <c r="H349" i="12"/>
  <c r="L349" i="12" s="1"/>
  <c r="M349" i="12" s="1"/>
  <c r="F349" i="12"/>
  <c r="K346" i="12"/>
  <c r="K345" i="12"/>
  <c r="H345" i="12"/>
  <c r="I345" i="12" s="1"/>
  <c r="J345" i="12" s="1"/>
  <c r="F345" i="12"/>
  <c r="F346" i="12" s="1"/>
  <c r="K342" i="12"/>
  <c r="J342" i="12"/>
  <c r="H342" i="12"/>
  <c r="I342" i="12" s="1"/>
  <c r="F342" i="12"/>
  <c r="F343" i="12" s="1"/>
  <c r="K341" i="12"/>
  <c r="J341" i="12"/>
  <c r="I341" i="12"/>
  <c r="H341" i="12"/>
  <c r="L341" i="12" s="1"/>
  <c r="M341" i="12" s="1"/>
  <c r="F341" i="12"/>
  <c r="K340" i="12"/>
  <c r="I340" i="12"/>
  <c r="J340" i="12" s="1"/>
  <c r="H340" i="12"/>
  <c r="L340" i="12" s="1"/>
  <c r="F340" i="12"/>
  <c r="K338" i="12"/>
  <c r="K337" i="12"/>
  <c r="H337" i="12"/>
  <c r="I337" i="12" s="1"/>
  <c r="J337" i="12" s="1"/>
  <c r="F337" i="12"/>
  <c r="K336" i="12"/>
  <c r="H336" i="12"/>
  <c r="I336" i="12" s="1"/>
  <c r="J336" i="12" s="1"/>
  <c r="F336" i="12"/>
  <c r="K335" i="12"/>
  <c r="I335" i="12"/>
  <c r="J335" i="12" s="1"/>
  <c r="H335" i="12"/>
  <c r="L335" i="12" s="1"/>
  <c r="M335" i="12" s="1"/>
  <c r="F335" i="12"/>
  <c r="L334" i="12"/>
  <c r="M334" i="12" s="1"/>
  <c r="K334" i="12"/>
  <c r="H334" i="12"/>
  <c r="I334" i="12" s="1"/>
  <c r="J334" i="12" s="1"/>
  <c r="F334" i="12"/>
  <c r="F325" i="12"/>
  <c r="K320" i="12"/>
  <c r="F320" i="12"/>
  <c r="M318" i="12"/>
  <c r="L318" i="12"/>
  <c r="J318" i="12"/>
  <c r="L317" i="12"/>
  <c r="L320" i="12" s="1"/>
  <c r="J317" i="12"/>
  <c r="F315" i="12"/>
  <c r="F312" i="12"/>
  <c r="F306" i="12"/>
  <c r="F295" i="12"/>
  <c r="F280" i="12"/>
  <c r="F277" i="12"/>
  <c r="F273" i="12"/>
  <c r="F270" i="12"/>
  <c r="F265" i="12"/>
  <c r="F260" i="12"/>
  <c r="F252" i="12"/>
  <c r="F247" i="12"/>
  <c r="K244" i="12"/>
  <c r="F244" i="12"/>
  <c r="L243" i="12"/>
  <c r="M243" i="12" s="1"/>
  <c r="I243" i="12"/>
  <c r="J243" i="12" s="1"/>
  <c r="L242" i="12"/>
  <c r="M242" i="12" s="1"/>
  <c r="J242" i="12"/>
  <c r="I242" i="12"/>
  <c r="L241" i="12"/>
  <c r="M241" i="12" s="1"/>
  <c r="J241" i="12"/>
  <c r="I241" i="12"/>
  <c r="L240" i="12"/>
  <c r="M240" i="12" s="1"/>
  <c r="I240" i="12"/>
  <c r="J240" i="12" s="1"/>
  <c r="L239" i="12"/>
  <c r="M239" i="12" s="1"/>
  <c r="I239" i="12"/>
  <c r="J239" i="12" s="1"/>
  <c r="L236" i="12"/>
  <c r="K236" i="12"/>
  <c r="F236" i="12"/>
  <c r="L235" i="12"/>
  <c r="M235" i="12" s="1"/>
  <c r="J235" i="12"/>
  <c r="M234" i="12"/>
  <c r="L234" i="12"/>
  <c r="I234" i="12"/>
  <c r="J234" i="12" s="1"/>
  <c r="M233" i="12"/>
  <c r="L233" i="12"/>
  <c r="I233" i="12"/>
  <c r="J233" i="12" s="1"/>
  <c r="M232" i="12"/>
  <c r="L232" i="12"/>
  <c r="I232" i="12"/>
  <c r="J232" i="12" s="1"/>
  <c r="M231" i="12"/>
  <c r="L231" i="12"/>
  <c r="I231" i="12"/>
  <c r="J231" i="12" s="1"/>
  <c r="M230" i="12"/>
  <c r="L230" i="12"/>
  <c r="I230" i="12"/>
  <c r="J230" i="12" s="1"/>
  <c r="M229" i="12"/>
  <c r="L229" i="12"/>
  <c r="I229" i="12"/>
  <c r="J229" i="12" s="1"/>
  <c r="M228" i="12"/>
  <c r="L228" i="12"/>
  <c r="I228" i="12"/>
  <c r="J228" i="12" s="1"/>
  <c r="M227" i="12"/>
  <c r="L227" i="12"/>
  <c r="I227" i="12"/>
  <c r="J227" i="12" s="1"/>
  <c r="K225" i="12"/>
  <c r="F225" i="12"/>
  <c r="M224" i="12"/>
  <c r="L224" i="12"/>
  <c r="I224" i="12"/>
  <c r="J224" i="12" s="1"/>
  <c r="M223" i="12"/>
  <c r="L223" i="12"/>
  <c r="I223" i="12"/>
  <c r="J223" i="12" s="1"/>
  <c r="M222" i="12"/>
  <c r="L222" i="12"/>
  <c r="I222" i="12"/>
  <c r="J222" i="12" s="1"/>
  <c r="M221" i="12"/>
  <c r="L221" i="12"/>
  <c r="I221" i="12"/>
  <c r="J221" i="12" s="1"/>
  <c r="M219" i="12"/>
  <c r="L219" i="12"/>
  <c r="J219" i="12"/>
  <c r="L218" i="12"/>
  <c r="M218" i="12" s="1"/>
  <c r="I218" i="12"/>
  <c r="J218" i="12" s="1"/>
  <c r="L217" i="12"/>
  <c r="M217" i="12" s="1"/>
  <c r="I217" i="12"/>
  <c r="J217" i="12" s="1"/>
  <c r="M216" i="12"/>
  <c r="L216" i="12"/>
  <c r="I216" i="12"/>
  <c r="J216" i="12" s="1"/>
  <c r="M215" i="12"/>
  <c r="L215" i="12"/>
  <c r="I215" i="12"/>
  <c r="J215" i="12" s="1"/>
  <c r="L214" i="12"/>
  <c r="M214" i="12" s="1"/>
  <c r="I214" i="12"/>
  <c r="J214" i="12" s="1"/>
  <c r="L213" i="12"/>
  <c r="M213" i="12" s="1"/>
  <c r="I213" i="12"/>
  <c r="J213" i="12" s="1"/>
  <c r="F210" i="12"/>
  <c r="F207" i="12"/>
  <c r="F203" i="12"/>
  <c r="F200" i="12"/>
  <c r="K195" i="12"/>
  <c r="F195" i="12"/>
  <c r="M194" i="12"/>
  <c r="L194" i="12"/>
  <c r="I194" i="12"/>
  <c r="J194" i="12" s="1"/>
  <c r="M193" i="12"/>
  <c r="L193" i="12"/>
  <c r="I193" i="12"/>
  <c r="J193" i="12" s="1"/>
  <c r="L192" i="12"/>
  <c r="L195" i="12" s="1"/>
  <c r="I192" i="12"/>
  <c r="J192" i="12" s="1"/>
  <c r="K190" i="12"/>
  <c r="F190" i="12"/>
  <c r="L189" i="12"/>
  <c r="M189" i="12" s="1"/>
  <c r="I189" i="12"/>
  <c r="J189" i="12" s="1"/>
  <c r="M188" i="12"/>
  <c r="L188" i="12"/>
  <c r="I188" i="12"/>
  <c r="J188" i="12" s="1"/>
  <c r="M187" i="12"/>
  <c r="L187" i="12"/>
  <c r="I187" i="12"/>
  <c r="J187" i="12" s="1"/>
  <c r="L186" i="12"/>
  <c r="M186" i="12" s="1"/>
  <c r="I186" i="12"/>
  <c r="J186" i="12" s="1"/>
  <c r="L185" i="12"/>
  <c r="M185" i="12" s="1"/>
  <c r="I185" i="12"/>
  <c r="J185" i="12" s="1"/>
  <c r="M184" i="12"/>
  <c r="M190" i="12" s="1"/>
  <c r="L184" i="12"/>
  <c r="I184" i="12"/>
  <c r="J184" i="12" s="1"/>
  <c r="K182" i="12"/>
  <c r="F182" i="12"/>
  <c r="M181" i="12"/>
  <c r="L181" i="12"/>
  <c r="I181" i="12"/>
  <c r="J181" i="12" s="1"/>
  <c r="L180" i="12"/>
  <c r="M180" i="12" s="1"/>
  <c r="I180" i="12"/>
  <c r="J180" i="12" s="1"/>
  <c r="L179" i="12"/>
  <c r="I179" i="12"/>
  <c r="J179" i="12" s="1"/>
  <c r="K177" i="12"/>
  <c r="F177" i="12"/>
  <c r="M176" i="12"/>
  <c r="M177" i="12" s="1"/>
  <c r="L176" i="12"/>
  <c r="L177" i="12" s="1"/>
  <c r="I176" i="12"/>
  <c r="J176" i="12" s="1"/>
  <c r="M174" i="12"/>
  <c r="L174" i="12"/>
  <c r="K174" i="12"/>
  <c r="F174" i="12"/>
  <c r="C174" i="12"/>
  <c r="M173" i="12"/>
  <c r="L173" i="12"/>
  <c r="I173" i="12"/>
  <c r="J173" i="12" s="1"/>
  <c r="M172" i="12"/>
  <c r="L172" i="12"/>
  <c r="I172" i="12"/>
  <c r="J172" i="12" s="1"/>
  <c r="M171" i="12"/>
  <c r="L171" i="12"/>
  <c r="I171" i="12"/>
  <c r="J171" i="12" s="1"/>
  <c r="M170" i="12"/>
  <c r="L170" i="12"/>
  <c r="I170" i="12"/>
  <c r="J170" i="12" s="1"/>
  <c r="M169" i="12"/>
  <c r="L169" i="12"/>
  <c r="I169" i="12"/>
  <c r="J169" i="12" s="1"/>
  <c r="K166" i="12"/>
  <c r="F166" i="12"/>
  <c r="M165" i="12"/>
  <c r="L165" i="12"/>
  <c r="I165" i="12"/>
  <c r="J165" i="12" s="1"/>
  <c r="M164" i="12"/>
  <c r="L164" i="12"/>
  <c r="I164" i="12"/>
  <c r="J164" i="12" s="1"/>
  <c r="M163" i="12"/>
  <c r="L163" i="12"/>
  <c r="I163" i="12"/>
  <c r="J163" i="12" s="1"/>
  <c r="M162" i="12"/>
  <c r="L162" i="12"/>
  <c r="I162" i="12"/>
  <c r="J162" i="12" s="1"/>
  <c r="M161" i="12"/>
  <c r="L161" i="12"/>
  <c r="I161" i="12"/>
  <c r="J161" i="12" s="1"/>
  <c r="M160" i="12"/>
  <c r="L160" i="12"/>
  <c r="I160" i="12"/>
  <c r="J160" i="12" s="1"/>
  <c r="M159" i="12"/>
  <c r="L159" i="12"/>
  <c r="I159" i="12"/>
  <c r="J159" i="12" s="1"/>
  <c r="M158" i="12"/>
  <c r="L158" i="12"/>
  <c r="I158" i="12"/>
  <c r="J158" i="12" s="1"/>
  <c r="M157" i="12"/>
  <c r="L157" i="12"/>
  <c r="L166" i="12" s="1"/>
  <c r="I157" i="12"/>
  <c r="J157" i="12" s="1"/>
  <c r="F155" i="12"/>
  <c r="M154" i="12"/>
  <c r="L154" i="12"/>
  <c r="K154" i="12"/>
  <c r="I154" i="12"/>
  <c r="J154" i="12" s="1"/>
  <c r="L153" i="12"/>
  <c r="K153" i="12"/>
  <c r="J153" i="12"/>
  <c r="I153" i="12"/>
  <c r="M152" i="12"/>
  <c r="L152" i="12"/>
  <c r="K152" i="12"/>
  <c r="I152" i="12"/>
  <c r="J152" i="12" s="1"/>
  <c r="M151" i="12"/>
  <c r="L151" i="12"/>
  <c r="K151" i="12"/>
  <c r="I151" i="12"/>
  <c r="J151" i="12" s="1"/>
  <c r="K150" i="12"/>
  <c r="L149" i="12"/>
  <c r="K149" i="12"/>
  <c r="M149" i="12" s="1"/>
  <c r="J149" i="12"/>
  <c r="I149" i="12"/>
  <c r="L148" i="12"/>
  <c r="K148" i="12"/>
  <c r="M148" i="12" s="1"/>
  <c r="I148" i="12"/>
  <c r="J148" i="12" s="1"/>
  <c r="L147" i="12"/>
  <c r="M147" i="12" s="1"/>
  <c r="K147" i="12"/>
  <c r="J147" i="12"/>
  <c r="I147" i="12"/>
  <c r="M146" i="12"/>
  <c r="L146" i="12"/>
  <c r="K146" i="12"/>
  <c r="I146" i="12"/>
  <c r="J146" i="12" s="1"/>
  <c r="L145" i="12"/>
  <c r="K145" i="12"/>
  <c r="J145" i="12"/>
  <c r="I145" i="12"/>
  <c r="M144" i="12"/>
  <c r="L144" i="12"/>
  <c r="K144" i="12"/>
  <c r="I144" i="12"/>
  <c r="J144" i="12" s="1"/>
  <c r="M143" i="12"/>
  <c r="L143" i="12"/>
  <c r="K143" i="12"/>
  <c r="I143" i="12"/>
  <c r="J143" i="12" s="1"/>
  <c r="F140" i="12"/>
  <c r="F137" i="12"/>
  <c r="F133" i="12"/>
  <c r="F130" i="12"/>
  <c r="K125" i="12"/>
  <c r="F125" i="12"/>
  <c r="M124" i="12"/>
  <c r="L124" i="12"/>
  <c r="L123" i="12"/>
  <c r="M123" i="12" s="1"/>
  <c r="M122" i="12"/>
  <c r="L122" i="12"/>
  <c r="K120" i="12"/>
  <c r="F120" i="12"/>
  <c r="L119" i="12"/>
  <c r="M119" i="12" s="1"/>
  <c r="M118" i="12"/>
  <c r="L118" i="12"/>
  <c r="L117" i="12"/>
  <c r="M117" i="12" s="1"/>
  <c r="M116" i="12"/>
  <c r="L116" i="12"/>
  <c r="L115" i="12"/>
  <c r="M115" i="12" s="1"/>
  <c r="M114" i="12"/>
  <c r="M120" i="12" s="1"/>
  <c r="L114" i="12"/>
  <c r="L112" i="12"/>
  <c r="K112" i="12"/>
  <c r="L111" i="12"/>
  <c r="K111" i="12"/>
  <c r="M111" i="12" s="1"/>
  <c r="I111" i="12"/>
  <c r="J111" i="12" s="1"/>
  <c r="F111" i="12"/>
  <c r="L110" i="12"/>
  <c r="K110" i="12"/>
  <c r="M110" i="12" s="1"/>
  <c r="J110" i="12"/>
  <c r="I110" i="12"/>
  <c r="F110" i="12"/>
  <c r="M109" i="12"/>
  <c r="M112" i="12" s="1"/>
  <c r="L109" i="12"/>
  <c r="K109" i="12"/>
  <c r="I109" i="12"/>
  <c r="J109" i="12" s="1"/>
  <c r="F109" i="12"/>
  <c r="F112" i="12" s="1"/>
  <c r="F107" i="12"/>
  <c r="M106" i="12"/>
  <c r="M107" i="12" s="1"/>
  <c r="L106" i="12"/>
  <c r="L107" i="12" s="1"/>
  <c r="K106" i="12"/>
  <c r="K107" i="12" s="1"/>
  <c r="I106" i="12"/>
  <c r="J106" i="12" s="1"/>
  <c r="F106" i="12"/>
  <c r="K104" i="12"/>
  <c r="L103" i="12"/>
  <c r="K103" i="12"/>
  <c r="M103" i="12" s="1"/>
  <c r="I103" i="12"/>
  <c r="J103" i="12" s="1"/>
  <c r="F103" i="12"/>
  <c r="L102" i="12"/>
  <c r="K102" i="12"/>
  <c r="M102" i="12" s="1"/>
  <c r="J102" i="12"/>
  <c r="I102" i="12"/>
  <c r="F102" i="12"/>
  <c r="M101" i="12"/>
  <c r="L101" i="12"/>
  <c r="K101" i="12"/>
  <c r="I101" i="12"/>
  <c r="J101" i="12" s="1"/>
  <c r="F101" i="12"/>
  <c r="L100" i="12"/>
  <c r="K100" i="12"/>
  <c r="M100" i="12" s="1"/>
  <c r="J100" i="12"/>
  <c r="I100" i="12"/>
  <c r="F100" i="12"/>
  <c r="L99" i="12"/>
  <c r="K99" i="12"/>
  <c r="I99" i="12"/>
  <c r="J99" i="12" s="1"/>
  <c r="F99" i="12"/>
  <c r="M95" i="12"/>
  <c r="L95" i="12"/>
  <c r="K95" i="12"/>
  <c r="J95" i="12"/>
  <c r="F95" i="12"/>
  <c r="L94" i="12"/>
  <c r="K94" i="12"/>
  <c r="J94" i="12"/>
  <c r="I94" i="12"/>
  <c r="F94" i="12"/>
  <c r="M93" i="12"/>
  <c r="L93" i="12"/>
  <c r="K93" i="12"/>
  <c r="J93" i="12"/>
  <c r="I93" i="12"/>
  <c r="F93" i="12"/>
  <c r="L92" i="12"/>
  <c r="K92" i="12"/>
  <c r="M92" i="12" s="1"/>
  <c r="J92" i="12"/>
  <c r="I92" i="12"/>
  <c r="F92" i="12"/>
  <c r="M91" i="12"/>
  <c r="L91" i="12"/>
  <c r="K91" i="12"/>
  <c r="I91" i="12"/>
  <c r="J91" i="12" s="1"/>
  <c r="F91" i="12"/>
  <c r="L90" i="12"/>
  <c r="K90" i="12"/>
  <c r="M90" i="12" s="1"/>
  <c r="J90" i="12"/>
  <c r="I90" i="12"/>
  <c r="F90" i="12"/>
  <c r="L89" i="12"/>
  <c r="M89" i="12" s="1"/>
  <c r="K89" i="12"/>
  <c r="I89" i="12"/>
  <c r="J89" i="12" s="1"/>
  <c r="F89" i="12"/>
  <c r="L88" i="12"/>
  <c r="K88" i="12"/>
  <c r="J88" i="12"/>
  <c r="I88" i="12"/>
  <c r="F88" i="12"/>
  <c r="L87" i="12"/>
  <c r="M87" i="12" s="1"/>
  <c r="K87" i="12"/>
  <c r="J87" i="12"/>
  <c r="I87" i="12"/>
  <c r="F87" i="12"/>
  <c r="L84" i="12"/>
  <c r="K84" i="12"/>
  <c r="M84" i="12" s="1"/>
  <c r="J84" i="12"/>
  <c r="I84" i="12"/>
  <c r="F84" i="12"/>
  <c r="M83" i="12"/>
  <c r="L83" i="12"/>
  <c r="K83" i="12"/>
  <c r="I83" i="12"/>
  <c r="J83" i="12" s="1"/>
  <c r="F83" i="12"/>
  <c r="L82" i="12"/>
  <c r="K82" i="12"/>
  <c r="M82" i="12" s="1"/>
  <c r="J82" i="12"/>
  <c r="I82" i="12"/>
  <c r="F82" i="12"/>
  <c r="L81" i="12"/>
  <c r="M81" i="12" s="1"/>
  <c r="K81" i="12"/>
  <c r="I81" i="12"/>
  <c r="J81" i="12" s="1"/>
  <c r="F81" i="12"/>
  <c r="L80" i="12"/>
  <c r="K80" i="12"/>
  <c r="J80" i="12"/>
  <c r="I80" i="12"/>
  <c r="F80" i="12"/>
  <c r="L78" i="12"/>
  <c r="M78" i="12" s="1"/>
  <c r="K78" i="12"/>
  <c r="J78" i="12"/>
  <c r="I78" i="12"/>
  <c r="F78" i="12"/>
  <c r="L77" i="12"/>
  <c r="L85" i="12" s="1"/>
  <c r="K77" i="12"/>
  <c r="J77" i="12"/>
  <c r="I77" i="12"/>
  <c r="F77" i="12"/>
  <c r="M76" i="12"/>
  <c r="L76" i="12"/>
  <c r="K76" i="12"/>
  <c r="J76" i="12"/>
  <c r="I76" i="12"/>
  <c r="F76" i="12"/>
  <c r="L75" i="12"/>
  <c r="K75" i="12"/>
  <c r="M75" i="12" s="1"/>
  <c r="J75" i="12"/>
  <c r="I75" i="12"/>
  <c r="F75" i="12"/>
  <c r="M74" i="12"/>
  <c r="L74" i="12"/>
  <c r="K74" i="12"/>
  <c r="I74" i="12"/>
  <c r="J74" i="12" s="1"/>
  <c r="F74" i="12"/>
  <c r="L73" i="12"/>
  <c r="K73" i="12"/>
  <c r="M73" i="12" s="1"/>
  <c r="J73" i="12"/>
  <c r="I73" i="12"/>
  <c r="F73" i="12"/>
  <c r="F72" i="12"/>
  <c r="F69" i="12"/>
  <c r="F68" i="12"/>
  <c r="F65" i="12"/>
  <c r="F64" i="12"/>
  <c r="F66" i="12" s="1"/>
  <c r="F61" i="12"/>
  <c r="F62" i="12" s="1"/>
  <c r="M58" i="12"/>
  <c r="L58" i="12"/>
  <c r="I58" i="12"/>
  <c r="J58" i="12" s="1"/>
  <c r="F58" i="12"/>
  <c r="F59" i="12" s="1"/>
  <c r="L57" i="12"/>
  <c r="K57" i="12"/>
  <c r="M57" i="12" s="1"/>
  <c r="J57" i="12"/>
  <c r="I57" i="12"/>
  <c r="F57" i="12"/>
  <c r="L56" i="12"/>
  <c r="K56" i="12"/>
  <c r="I56" i="12"/>
  <c r="J56" i="12" s="1"/>
  <c r="F56" i="12"/>
  <c r="M53" i="12"/>
  <c r="L53" i="12"/>
  <c r="K53" i="12"/>
  <c r="I53" i="12"/>
  <c r="J53" i="12" s="1"/>
  <c r="F53" i="12"/>
  <c r="L52" i="12"/>
  <c r="K52" i="12"/>
  <c r="M52" i="12" s="1"/>
  <c r="I52" i="12"/>
  <c r="J52" i="12" s="1"/>
  <c r="F52" i="12"/>
  <c r="F54" i="12" s="1"/>
  <c r="L51" i="12"/>
  <c r="L54" i="12" s="1"/>
  <c r="K51" i="12"/>
  <c r="J51" i="12"/>
  <c r="I51" i="12"/>
  <c r="F51" i="12"/>
  <c r="L48" i="12"/>
  <c r="M48" i="12" s="1"/>
  <c r="K48" i="12"/>
  <c r="J48" i="12"/>
  <c r="F48" i="12"/>
  <c r="M47" i="12"/>
  <c r="M49" i="12" s="1"/>
  <c r="L47" i="12"/>
  <c r="L49" i="12" s="1"/>
  <c r="K47" i="12"/>
  <c r="I47" i="12"/>
  <c r="J47" i="12" s="1"/>
  <c r="F47" i="12"/>
  <c r="L46" i="12"/>
  <c r="K46" i="12"/>
  <c r="M46" i="12" s="1"/>
  <c r="J46" i="12"/>
  <c r="I46" i="12"/>
  <c r="F46" i="12"/>
  <c r="L45" i="12"/>
  <c r="M45" i="12" s="1"/>
  <c r="K45" i="12"/>
  <c r="I45" i="12"/>
  <c r="J45" i="12" s="1"/>
  <c r="F45" i="12"/>
  <c r="L44" i="12"/>
  <c r="K44" i="12"/>
  <c r="M44" i="12" s="1"/>
  <c r="J44" i="12"/>
  <c r="I44" i="12"/>
  <c r="F44" i="12"/>
  <c r="L43" i="12"/>
  <c r="M43" i="12" s="1"/>
  <c r="K43" i="12"/>
  <c r="K49" i="12" s="1"/>
  <c r="I43" i="12"/>
  <c r="J43" i="12" s="1"/>
  <c r="F43" i="12"/>
  <c r="F49" i="12" s="1"/>
  <c r="L40" i="12"/>
  <c r="K40" i="12"/>
  <c r="M40" i="12" s="1"/>
  <c r="J40" i="12"/>
  <c r="I40" i="12"/>
  <c r="F40" i="12"/>
  <c r="L39" i="12"/>
  <c r="M39" i="12" s="1"/>
  <c r="K39" i="12"/>
  <c r="I39" i="12"/>
  <c r="J39" i="12" s="1"/>
  <c r="F39" i="12"/>
  <c r="F41" i="12" s="1"/>
  <c r="L38" i="12"/>
  <c r="L41" i="12" s="1"/>
  <c r="K38" i="12"/>
  <c r="M38" i="12" s="1"/>
  <c r="M41" i="12" s="1"/>
  <c r="J38" i="12"/>
  <c r="I38" i="12"/>
  <c r="F38" i="12"/>
  <c r="L36" i="12"/>
  <c r="L35" i="12"/>
  <c r="M35" i="12" s="1"/>
  <c r="M36" i="12" s="1"/>
  <c r="K35" i="12"/>
  <c r="K36" i="12" s="1"/>
  <c r="I35" i="12"/>
  <c r="J35" i="12" s="1"/>
  <c r="F35" i="12"/>
  <c r="F36" i="12" s="1"/>
  <c r="F33" i="12"/>
  <c r="C33" i="12"/>
  <c r="L32" i="12"/>
  <c r="K32" i="12"/>
  <c r="M32" i="12" s="1"/>
  <c r="J32" i="12"/>
  <c r="I32" i="12"/>
  <c r="F32" i="12"/>
  <c r="M31" i="12"/>
  <c r="L31" i="12"/>
  <c r="K31" i="12"/>
  <c r="I31" i="12"/>
  <c r="J31" i="12" s="1"/>
  <c r="F31" i="12"/>
  <c r="L30" i="12"/>
  <c r="K30" i="12"/>
  <c r="M30" i="12" s="1"/>
  <c r="J30" i="12"/>
  <c r="I30" i="12"/>
  <c r="F30" i="12"/>
  <c r="M29" i="12"/>
  <c r="L29" i="12"/>
  <c r="K29" i="12"/>
  <c r="I29" i="12"/>
  <c r="J29" i="12" s="1"/>
  <c r="F29" i="12"/>
  <c r="L28" i="12"/>
  <c r="K28" i="12"/>
  <c r="M28" i="12" s="1"/>
  <c r="J28" i="12"/>
  <c r="I28" i="12"/>
  <c r="F28" i="12"/>
  <c r="M27" i="12"/>
  <c r="L27" i="12"/>
  <c r="K27" i="12"/>
  <c r="I27" i="12"/>
  <c r="J27" i="12" s="1"/>
  <c r="F27" i="12"/>
  <c r="L26" i="12"/>
  <c r="L33" i="12" s="1"/>
  <c r="K26" i="12"/>
  <c r="J26" i="12"/>
  <c r="I26" i="12"/>
  <c r="F26" i="12"/>
  <c r="F23" i="12"/>
  <c r="M22" i="12"/>
  <c r="M23" i="12" s="1"/>
  <c r="L22" i="12"/>
  <c r="L23" i="12" s="1"/>
  <c r="K22" i="12"/>
  <c r="K23" i="12" s="1"/>
  <c r="I22" i="12"/>
  <c r="J22" i="12" s="1"/>
  <c r="F22" i="12"/>
  <c r="L19" i="12"/>
  <c r="K19" i="12"/>
  <c r="M19" i="12" s="1"/>
  <c r="J19" i="12"/>
  <c r="I19" i="12"/>
  <c r="M18" i="12"/>
  <c r="L18" i="12"/>
  <c r="K18" i="12"/>
  <c r="I18" i="12"/>
  <c r="J18" i="12" s="1"/>
  <c r="F18" i="12"/>
  <c r="L17" i="12"/>
  <c r="L20" i="12" s="1"/>
  <c r="K17" i="12"/>
  <c r="M17" i="12" s="1"/>
  <c r="J17" i="12"/>
  <c r="I17" i="12"/>
  <c r="F17" i="12"/>
  <c r="F20" i="12" s="1"/>
  <c r="M14" i="12"/>
  <c r="L14" i="12"/>
  <c r="K14" i="12"/>
  <c r="I14" i="12"/>
  <c r="J14" i="12" s="1"/>
  <c r="F14" i="12"/>
  <c r="L13" i="12"/>
  <c r="K13" i="12"/>
  <c r="M13" i="12" s="1"/>
  <c r="J13" i="12"/>
  <c r="I13" i="12"/>
  <c r="F13" i="12"/>
  <c r="M12" i="12"/>
  <c r="L12" i="12"/>
  <c r="K12" i="12"/>
  <c r="I12" i="12"/>
  <c r="J12" i="12" s="1"/>
  <c r="F12" i="12"/>
  <c r="L11" i="12"/>
  <c r="K11" i="12"/>
  <c r="J11" i="12"/>
  <c r="I11" i="12"/>
  <c r="F11" i="12"/>
  <c r="F15" i="12" s="1"/>
  <c r="E90" i="13" l="1"/>
  <c r="E89" i="13"/>
  <c r="E88" i="13"/>
  <c r="E87" i="13"/>
  <c r="E85" i="13"/>
  <c r="E86" i="13" s="1"/>
  <c r="E84" i="13"/>
  <c r="J90" i="13"/>
  <c r="J89" i="13"/>
  <c r="J88" i="13"/>
  <c r="J87" i="13"/>
  <c r="J85" i="13"/>
  <c r="J86" i="13" s="1"/>
  <c r="J84" i="13"/>
  <c r="K40" i="13"/>
  <c r="M99" i="12"/>
  <c r="M104" i="12" s="1"/>
  <c r="L104" i="12"/>
  <c r="M166" i="12"/>
  <c r="M26" i="12"/>
  <c r="M33" i="12" s="1"/>
  <c r="K33" i="12"/>
  <c r="L59" i="12"/>
  <c r="M56" i="12"/>
  <c r="M59" i="12" s="1"/>
  <c r="F85" i="12"/>
  <c r="L182" i="12"/>
  <c r="M225" i="12"/>
  <c r="K15" i="12"/>
  <c r="M11" i="12"/>
  <c r="M15" i="12" s="1"/>
  <c r="M20" i="12"/>
  <c r="K20" i="12"/>
  <c r="K54" i="12"/>
  <c r="M51" i="12"/>
  <c r="M54" i="12" s="1"/>
  <c r="F96" i="12"/>
  <c r="M125" i="12"/>
  <c r="M340" i="12"/>
  <c r="F423" i="12"/>
  <c r="L371" i="12"/>
  <c r="M365" i="12"/>
  <c r="M371" i="12" s="1"/>
  <c r="M405" i="12"/>
  <c r="M406" i="12" s="1"/>
  <c r="L406" i="12"/>
  <c r="M421" i="12"/>
  <c r="M422" i="12" s="1"/>
  <c r="L422" i="12"/>
  <c r="M439" i="12"/>
  <c r="M440" i="12" s="1"/>
  <c r="L440" i="12"/>
  <c r="L451" i="12"/>
  <c r="M451" i="12" s="1"/>
  <c r="I451" i="12"/>
  <c r="J451" i="12" s="1"/>
  <c r="I470" i="12"/>
  <c r="J470" i="12" s="1"/>
  <c r="L470" i="12"/>
  <c r="M470" i="12" s="1"/>
  <c r="I537" i="12"/>
  <c r="J537" i="12" s="1"/>
  <c r="L537" i="12"/>
  <c r="M537" i="12" s="1"/>
  <c r="I558" i="12"/>
  <c r="J558" i="12" s="1"/>
  <c r="L558" i="12"/>
  <c r="M558" i="12" s="1"/>
  <c r="L565" i="12"/>
  <c r="I565" i="12"/>
  <c r="J565" i="12" s="1"/>
  <c r="M669" i="12"/>
  <c r="M670" i="12" s="1"/>
  <c r="L670" i="12"/>
  <c r="F104" i="12"/>
  <c r="L120" i="12"/>
  <c r="L190" i="12"/>
  <c r="M192" i="12"/>
  <c r="M195" i="12" s="1"/>
  <c r="M317" i="12"/>
  <c r="M320" i="12" s="1"/>
  <c r="L338" i="12"/>
  <c r="I421" i="12"/>
  <c r="J421" i="12" s="1"/>
  <c r="I439" i="12"/>
  <c r="J439" i="12" s="1"/>
  <c r="I459" i="12"/>
  <c r="J459" i="12" s="1"/>
  <c r="L459" i="12"/>
  <c r="M459" i="12" s="1"/>
  <c r="I463" i="12"/>
  <c r="J463" i="12" s="1"/>
  <c r="L463" i="12"/>
  <c r="M463" i="12" s="1"/>
  <c r="I488" i="12"/>
  <c r="J488" i="12" s="1"/>
  <c r="L488" i="12"/>
  <c r="I508" i="12"/>
  <c r="J508" i="12" s="1"/>
  <c r="L508" i="12"/>
  <c r="L550" i="12"/>
  <c r="I550" i="12"/>
  <c r="J550" i="12" s="1"/>
  <c r="L578" i="12"/>
  <c r="M578" i="12" s="1"/>
  <c r="I578" i="12"/>
  <c r="J578" i="12" s="1"/>
  <c r="L583" i="12"/>
  <c r="I583" i="12"/>
  <c r="J583" i="12" s="1"/>
  <c r="M617" i="12"/>
  <c r="L618" i="12"/>
  <c r="M845" i="12"/>
  <c r="M846" i="12" s="1"/>
  <c r="L846" i="12"/>
  <c r="M862" i="12"/>
  <c r="M864" i="12" s="1"/>
  <c r="L864" i="12"/>
  <c r="M80" i="12"/>
  <c r="M88" i="12"/>
  <c r="M179" i="12"/>
  <c r="M182" i="12" s="1"/>
  <c r="L244" i="12"/>
  <c r="M337" i="12"/>
  <c r="K353" i="12"/>
  <c r="L384" i="12"/>
  <c r="M386" i="12"/>
  <c r="M395" i="12" s="1"/>
  <c r="I398" i="12"/>
  <c r="J398" i="12" s="1"/>
  <c r="I402" i="12"/>
  <c r="J402" i="12" s="1"/>
  <c r="L415" i="12"/>
  <c r="I415" i="12"/>
  <c r="J415" i="12" s="1"/>
  <c r="L447" i="12"/>
  <c r="L455" i="12"/>
  <c r="M449" i="12"/>
  <c r="M455" i="12" s="1"/>
  <c r="L468" i="12"/>
  <c r="I505" i="12"/>
  <c r="J505" i="12" s="1"/>
  <c r="M520" i="12"/>
  <c r="M525" i="12" s="1"/>
  <c r="L541" i="12"/>
  <c r="M535" i="12"/>
  <c r="L538" i="12"/>
  <c r="M538" i="12" s="1"/>
  <c r="I538" i="12"/>
  <c r="J538" i="12" s="1"/>
  <c r="L547" i="12"/>
  <c r="M544" i="12"/>
  <c r="I546" i="12"/>
  <c r="J546" i="12" s="1"/>
  <c r="L546" i="12"/>
  <c r="M546" i="12" s="1"/>
  <c r="I553" i="12"/>
  <c r="J553" i="12" s="1"/>
  <c r="L553" i="12"/>
  <c r="M553" i="12" s="1"/>
  <c r="I566" i="12"/>
  <c r="J566" i="12" s="1"/>
  <c r="L566" i="12"/>
  <c r="M566" i="12" s="1"/>
  <c r="M659" i="12"/>
  <c r="M662" i="12" s="1"/>
  <c r="L662" i="12"/>
  <c r="M908" i="12"/>
  <c r="M910" i="12" s="1"/>
  <c r="L910" i="12"/>
  <c r="F354" i="12"/>
  <c r="L408" i="12"/>
  <c r="I408" i="12"/>
  <c r="J408" i="12" s="1"/>
  <c r="M434" i="12"/>
  <c r="M437" i="12" s="1"/>
  <c r="L437" i="12"/>
  <c r="L554" i="12"/>
  <c r="M554" i="12" s="1"/>
  <c r="I554" i="12"/>
  <c r="J554" i="12" s="1"/>
  <c r="K41" i="12"/>
  <c r="L96" i="12"/>
  <c r="L225" i="12"/>
  <c r="F326" i="12"/>
  <c r="I386" i="12"/>
  <c r="J386" i="12" s="1"/>
  <c r="I388" i="12"/>
  <c r="J388" i="12" s="1"/>
  <c r="I390" i="12"/>
  <c r="J390" i="12" s="1"/>
  <c r="M398" i="12"/>
  <c r="M403" i="12" s="1"/>
  <c r="L403" i="12"/>
  <c r="L15" i="12"/>
  <c r="L326" i="12" s="1"/>
  <c r="K59" i="12"/>
  <c r="M77" i="12"/>
  <c r="M85" i="12" s="1"/>
  <c r="K85" i="12"/>
  <c r="M94" i="12"/>
  <c r="K96" i="12"/>
  <c r="L125" i="12"/>
  <c r="L155" i="12"/>
  <c r="M145" i="12"/>
  <c r="M155" i="12" s="1"/>
  <c r="M153" i="12"/>
  <c r="K155" i="12"/>
  <c r="K326" i="12" s="1"/>
  <c r="M236" i="12"/>
  <c r="M244" i="12"/>
  <c r="L337" i="12"/>
  <c r="K343" i="12"/>
  <c r="K354" i="12" s="1"/>
  <c r="L345" i="12"/>
  <c r="L346" i="12" s="1"/>
  <c r="L379" i="12"/>
  <c r="L391" i="12"/>
  <c r="M391" i="12" s="1"/>
  <c r="I391" i="12"/>
  <c r="J391" i="12" s="1"/>
  <c r="L431" i="12"/>
  <c r="M431" i="12" s="1"/>
  <c r="I431" i="12"/>
  <c r="J431" i="12" s="1"/>
  <c r="M460" i="12"/>
  <c r="L460" i="12"/>
  <c r="I502" i="12"/>
  <c r="J502" i="12" s="1"/>
  <c r="L502" i="12"/>
  <c r="M502" i="12" s="1"/>
  <c r="L509" i="12"/>
  <c r="M509" i="12" s="1"/>
  <c r="I509" i="12"/>
  <c r="J509" i="12" s="1"/>
  <c r="I512" i="12"/>
  <c r="J512" i="12" s="1"/>
  <c r="L512" i="12"/>
  <c r="M512" i="12" s="1"/>
  <c r="L533" i="12"/>
  <c r="M530" i="12"/>
  <c r="M533" i="12" s="1"/>
  <c r="I577" i="12"/>
  <c r="J577" i="12" s="1"/>
  <c r="L577" i="12"/>
  <c r="M577" i="12" s="1"/>
  <c r="M624" i="12"/>
  <c r="M636" i="12" s="1"/>
  <c r="L636" i="12"/>
  <c r="L713" i="12"/>
  <c r="L855" i="12" s="1"/>
  <c r="M711" i="12"/>
  <c r="M713" i="12" s="1"/>
  <c r="L731" i="12"/>
  <c r="M729" i="12"/>
  <c r="M737" i="12"/>
  <c r="M738" i="12" s="1"/>
  <c r="L738" i="12"/>
  <c r="L879" i="12"/>
  <c r="M877" i="12"/>
  <c r="M879" i="12" s="1"/>
  <c r="L336" i="12"/>
  <c r="L342" i="12"/>
  <c r="L343" i="12" s="1"/>
  <c r="L351" i="12"/>
  <c r="M351" i="12" s="1"/>
  <c r="K423" i="12"/>
  <c r="K585" i="12"/>
  <c r="I570" i="12"/>
  <c r="J570" i="12" s="1"/>
  <c r="L570" i="12"/>
  <c r="M570" i="12" s="1"/>
  <c r="M618" i="12"/>
  <c r="M731" i="12"/>
  <c r="F338" i="12"/>
  <c r="M430" i="12"/>
  <c r="L432" i="12"/>
  <c r="F460" i="12"/>
  <c r="F585" i="12" s="1"/>
  <c r="M465" i="12"/>
  <c r="L473" i="12"/>
  <c r="M473" i="12" s="1"/>
  <c r="L480" i="12"/>
  <c r="L490" i="12"/>
  <c r="M490" i="12" s="1"/>
  <c r="L495" i="12"/>
  <c r="M495" i="12" s="1"/>
  <c r="I497" i="12"/>
  <c r="J497" i="12" s="1"/>
  <c r="L497" i="12"/>
  <c r="M497" i="12" s="1"/>
  <c r="I500" i="12"/>
  <c r="J500" i="12" s="1"/>
  <c r="L513" i="12"/>
  <c r="M513" i="12" s="1"/>
  <c r="I513" i="12"/>
  <c r="J513" i="12" s="1"/>
  <c r="I516" i="12"/>
  <c r="J516" i="12" s="1"/>
  <c r="L516" i="12"/>
  <c r="M516" i="12" s="1"/>
  <c r="I521" i="12"/>
  <c r="J521" i="12" s="1"/>
  <c r="L521" i="12"/>
  <c r="M521" i="12" s="1"/>
  <c r="I524" i="12"/>
  <c r="J524" i="12" s="1"/>
  <c r="I527" i="12"/>
  <c r="J527" i="12" s="1"/>
  <c r="L527" i="12"/>
  <c r="I531" i="12"/>
  <c r="J531" i="12" s="1"/>
  <c r="L531" i="12"/>
  <c r="M531" i="12" s="1"/>
  <c r="F541" i="12"/>
  <c r="I545" i="12"/>
  <c r="J545" i="12" s="1"/>
  <c r="F562" i="12"/>
  <c r="L559" i="12"/>
  <c r="M559" i="12" s="1"/>
  <c r="I559" i="12"/>
  <c r="J559" i="12" s="1"/>
  <c r="M603" i="12"/>
  <c r="M606" i="12" s="1"/>
  <c r="L606" i="12"/>
  <c r="M647" i="12"/>
  <c r="M673" i="12"/>
  <c r="M674" i="12" s="1"/>
  <c r="L674" i="12"/>
  <c r="M786" i="12"/>
  <c r="L791" i="12"/>
  <c r="M828" i="12"/>
  <c r="M837" i="12" s="1"/>
  <c r="L837" i="12"/>
  <c r="M897" i="12"/>
  <c r="L898" i="12"/>
  <c r="L916" i="12" s="1"/>
  <c r="M900" i="12"/>
  <c r="M901" i="12" s="1"/>
  <c r="L901" i="12"/>
  <c r="M903" i="12"/>
  <c r="M906" i="12" s="1"/>
  <c r="L906" i="12"/>
  <c r="M912" i="12"/>
  <c r="M915" i="12" s="1"/>
  <c r="L915" i="12"/>
  <c r="L465" i="12"/>
  <c r="L486" i="12"/>
  <c r="F547" i="12"/>
  <c r="F573" i="12"/>
  <c r="L601" i="12"/>
  <c r="M595" i="12"/>
  <c r="M601" i="12" s="1"/>
  <c r="L657" i="12"/>
  <c r="M651" i="12"/>
  <c r="M657" i="12" s="1"/>
  <c r="K855" i="12"/>
  <c r="M767" i="12"/>
  <c r="M770" i="12"/>
  <c r="M775" i="12" s="1"/>
  <c r="L775" i="12"/>
  <c r="M494" i="12"/>
  <c r="I498" i="12"/>
  <c r="J498" i="12" s="1"/>
  <c r="I503" i="12"/>
  <c r="J503" i="12" s="1"/>
  <c r="F517" i="12"/>
  <c r="I522" i="12"/>
  <c r="J522" i="12" s="1"/>
  <c r="I532" i="12"/>
  <c r="J532" i="12" s="1"/>
  <c r="I567" i="12"/>
  <c r="J567" i="12" s="1"/>
  <c r="I571" i="12"/>
  <c r="J571" i="12" s="1"/>
  <c r="F581" i="12"/>
  <c r="I580" i="12"/>
  <c r="J580" i="12" s="1"/>
  <c r="L580" i="12"/>
  <c r="M580" i="12" s="1"/>
  <c r="M581" i="12" s="1"/>
  <c r="L611" i="12"/>
  <c r="M609" i="12"/>
  <c r="M611" i="12" s="1"/>
  <c r="L667" i="12"/>
  <c r="M665" i="12"/>
  <c r="M667" i="12" s="1"/>
  <c r="L721" i="12"/>
  <c r="M715" i="12"/>
  <c r="M721" i="12" s="1"/>
  <c r="M783" i="12"/>
  <c r="M791" i="12"/>
  <c r="M801" i="12"/>
  <c r="L870" i="12"/>
  <c r="F808" i="12"/>
  <c r="F855" i="12" s="1"/>
  <c r="K890" i="12"/>
  <c r="M806" i="12"/>
  <c r="M808" i="12" s="1"/>
  <c r="F898" i="12"/>
  <c r="F916" i="12" s="1"/>
  <c r="M40" i="13" l="1"/>
  <c r="K41" i="13"/>
  <c r="J96" i="13"/>
  <c r="J98" i="13" s="1"/>
  <c r="E96" i="13"/>
  <c r="E98" i="13" s="1"/>
  <c r="L354" i="12"/>
  <c r="M326" i="12"/>
  <c r="M527" i="12"/>
  <c r="M528" i="12" s="1"/>
  <c r="L528" i="12"/>
  <c r="L477" i="12"/>
  <c r="M468" i="12"/>
  <c r="M477" i="12" s="1"/>
  <c r="L584" i="12"/>
  <c r="M583" i="12"/>
  <c r="M584" i="12" s="1"/>
  <c r="L562" i="12"/>
  <c r="M550" i="12"/>
  <c r="M562" i="12" s="1"/>
  <c r="E927" i="12"/>
  <c r="M508" i="12"/>
  <c r="M517" i="12" s="1"/>
  <c r="L517" i="12"/>
  <c r="M898" i="12"/>
  <c r="M916" i="12" s="1"/>
  <c r="L483" i="12"/>
  <c r="M480" i="12"/>
  <c r="M483" i="12" s="1"/>
  <c r="M336" i="12"/>
  <c r="L525" i="12"/>
  <c r="L395" i="12"/>
  <c r="M342" i="12"/>
  <c r="M343" i="12" s="1"/>
  <c r="M855" i="12"/>
  <c r="L419" i="12"/>
  <c r="M415" i="12"/>
  <c r="M419" i="12" s="1"/>
  <c r="L890" i="12"/>
  <c r="M890" i="12" s="1"/>
  <c r="H927" i="12"/>
  <c r="N890" i="12"/>
  <c r="L581" i="12"/>
  <c r="M506" i="12"/>
  <c r="L506" i="12"/>
  <c r="M432" i="12"/>
  <c r="M585" i="12" s="1"/>
  <c r="M408" i="12"/>
  <c r="M411" i="12" s="1"/>
  <c r="L411" i="12"/>
  <c r="M547" i="12"/>
  <c r="M541" i="12"/>
  <c r="M345" i="12"/>
  <c r="M346" i="12" s="1"/>
  <c r="M96" i="12"/>
  <c r="M488" i="12"/>
  <c r="M491" i="12" s="1"/>
  <c r="L491" i="12"/>
  <c r="M565" i="12"/>
  <c r="M573" i="12" s="1"/>
  <c r="L573" i="12"/>
  <c r="H80" i="13" l="1"/>
  <c r="M41" i="13"/>
  <c r="J102" i="13"/>
  <c r="J105" i="13" s="1"/>
  <c r="H932" i="12"/>
  <c r="H933" i="12" s="1"/>
  <c r="H931" i="12"/>
  <c r="N932" i="12"/>
  <c r="K924" i="12"/>
  <c r="H936" i="12"/>
  <c r="H934" i="12"/>
  <c r="H937" i="12"/>
  <c r="H935" i="12"/>
  <c r="M423" i="12"/>
  <c r="E939" i="12"/>
  <c r="E937" i="12"/>
  <c r="E936" i="12"/>
  <c r="E935" i="12"/>
  <c r="E934" i="12"/>
  <c r="E932" i="12"/>
  <c r="E933" i="12" s="1"/>
  <c r="E931" i="12"/>
  <c r="M338" i="12"/>
  <c r="M354" i="12" s="1"/>
  <c r="L423" i="12"/>
  <c r="L585" i="12"/>
  <c r="J927" i="12" s="1"/>
  <c r="H90" i="13" l="1"/>
  <c r="L90" i="13" s="1"/>
  <c r="H89" i="13"/>
  <c r="L89" i="13" s="1"/>
  <c r="H88" i="13"/>
  <c r="L88" i="13" s="1"/>
  <c r="H87" i="13"/>
  <c r="L87" i="13" s="1"/>
  <c r="H85" i="13"/>
  <c r="H84" i="13"/>
  <c r="L80" i="13"/>
  <c r="J937" i="12"/>
  <c r="L937" i="12" s="1"/>
  <c r="J936" i="12"/>
  <c r="L936" i="12" s="1"/>
  <c r="J935" i="12"/>
  <c r="L935" i="12" s="1"/>
  <c r="J934" i="12"/>
  <c r="L934" i="12" s="1"/>
  <c r="J932" i="12"/>
  <c r="J931" i="12"/>
  <c r="E941" i="12"/>
  <c r="E943" i="12" s="1"/>
  <c r="H941" i="12"/>
  <c r="H943" i="12" s="1"/>
  <c r="L927" i="12"/>
  <c r="L84" i="13" l="1"/>
  <c r="H86" i="13"/>
  <c r="L86" i="13" s="1"/>
  <c r="L85" i="13"/>
  <c r="L931" i="12"/>
  <c r="H945" i="12"/>
  <c r="J933" i="12"/>
  <c r="L933" i="12" s="1"/>
  <c r="L932" i="12"/>
  <c r="H96" i="13" l="1"/>
  <c r="L941" i="12"/>
  <c r="J941" i="12"/>
  <c r="J943" i="12" s="1"/>
  <c r="J945" i="12"/>
  <c r="L945" i="12" s="1"/>
  <c r="L96" i="13" l="1"/>
  <c r="H98" i="13"/>
  <c r="J947" i="12"/>
  <c r="L943" i="12"/>
  <c r="H102" i="13" l="1"/>
  <c r="L102" i="13" s="1"/>
  <c r="L98" i="13"/>
  <c r="E104" i="13" s="1"/>
  <c r="J399" i="11"/>
  <c r="H399" i="11"/>
  <c r="L397" i="11"/>
  <c r="L399" i="11" s="1"/>
  <c r="E390" i="11"/>
  <c r="L359" i="11"/>
  <c r="F359" i="11"/>
  <c r="L358" i="11"/>
  <c r="M358" i="11" s="1"/>
  <c r="K358" i="11"/>
  <c r="I358" i="11"/>
  <c r="J358" i="11" s="1"/>
  <c r="M356" i="11"/>
  <c r="L356" i="11"/>
  <c r="K356" i="11"/>
  <c r="J356" i="11"/>
  <c r="I356" i="11"/>
  <c r="L354" i="11"/>
  <c r="K354" i="11"/>
  <c r="M354" i="11" s="1"/>
  <c r="J354" i="11"/>
  <c r="I354" i="11"/>
  <c r="L353" i="11"/>
  <c r="K353" i="11"/>
  <c r="M353" i="11" s="1"/>
  <c r="I353" i="11"/>
  <c r="J353" i="11" s="1"/>
  <c r="M351" i="11"/>
  <c r="L351" i="11"/>
  <c r="K351" i="11"/>
  <c r="I351" i="11"/>
  <c r="J351" i="11" s="1"/>
  <c r="M349" i="11"/>
  <c r="L349" i="11"/>
  <c r="K349" i="11"/>
  <c r="J349" i="11"/>
  <c r="I349" i="11"/>
  <c r="L348" i="11"/>
  <c r="K348" i="11"/>
  <c r="M348" i="11" s="1"/>
  <c r="J348" i="11"/>
  <c r="I348" i="11"/>
  <c r="L346" i="11"/>
  <c r="K346" i="11"/>
  <c r="M346" i="11" s="1"/>
  <c r="I346" i="11"/>
  <c r="J346" i="11" s="1"/>
  <c r="M345" i="11"/>
  <c r="L345" i="11"/>
  <c r="K345" i="11"/>
  <c r="I345" i="11"/>
  <c r="J345" i="11" s="1"/>
  <c r="M344" i="11"/>
  <c r="L344" i="11"/>
  <c r="K344" i="11"/>
  <c r="J344" i="11"/>
  <c r="I344" i="11"/>
  <c r="L343" i="11"/>
  <c r="K343" i="11"/>
  <c r="M343" i="11" s="1"/>
  <c r="J343" i="11"/>
  <c r="I343" i="11"/>
  <c r="L342" i="11"/>
  <c r="K342" i="11"/>
  <c r="M342" i="11" s="1"/>
  <c r="I342" i="11"/>
  <c r="J342" i="11" s="1"/>
  <c r="M340" i="11"/>
  <c r="M359" i="11" s="1"/>
  <c r="L340" i="11"/>
  <c r="K340" i="11"/>
  <c r="K359" i="11" s="1"/>
  <c r="I340" i="11"/>
  <c r="J340" i="11" s="1"/>
  <c r="F337" i="11"/>
  <c r="M336" i="11"/>
  <c r="L336" i="11"/>
  <c r="K336" i="11"/>
  <c r="I336" i="11"/>
  <c r="J336" i="11" s="1"/>
  <c r="L335" i="11"/>
  <c r="K335" i="11"/>
  <c r="M335" i="11" s="1"/>
  <c r="J335" i="11"/>
  <c r="I335" i="11"/>
  <c r="L333" i="11"/>
  <c r="K333" i="11"/>
  <c r="I333" i="11"/>
  <c r="J333" i="11" s="1"/>
  <c r="L332" i="11"/>
  <c r="M332" i="11" s="1"/>
  <c r="K332" i="11"/>
  <c r="I332" i="11"/>
  <c r="J332" i="11" s="1"/>
  <c r="M330" i="11"/>
  <c r="L330" i="11"/>
  <c r="K330" i="11"/>
  <c r="I330" i="11"/>
  <c r="J330" i="11" s="1"/>
  <c r="L328" i="11"/>
  <c r="K328" i="11"/>
  <c r="M328" i="11" s="1"/>
  <c r="J328" i="11"/>
  <c r="I328" i="11"/>
  <c r="L327" i="11"/>
  <c r="K327" i="11"/>
  <c r="I327" i="11"/>
  <c r="J327" i="11" s="1"/>
  <c r="L325" i="11"/>
  <c r="M325" i="11" s="1"/>
  <c r="K325" i="11"/>
  <c r="I325" i="11"/>
  <c r="J325" i="11" s="1"/>
  <c r="M323" i="11"/>
  <c r="L323" i="11"/>
  <c r="K323" i="11"/>
  <c r="I323" i="11"/>
  <c r="J323" i="11" s="1"/>
  <c r="F323" i="11"/>
  <c r="L321" i="11"/>
  <c r="K321" i="11"/>
  <c r="I321" i="11"/>
  <c r="J321" i="11" s="1"/>
  <c r="M320" i="11"/>
  <c r="L320" i="11"/>
  <c r="K320" i="11"/>
  <c r="I320" i="11"/>
  <c r="J320" i="11" s="1"/>
  <c r="M319" i="11"/>
  <c r="L319" i="11"/>
  <c r="K319" i="11"/>
  <c r="I319" i="11"/>
  <c r="J319" i="11" s="1"/>
  <c r="L318" i="11"/>
  <c r="K318" i="11"/>
  <c r="M318" i="11" s="1"/>
  <c r="J318" i="11"/>
  <c r="I318" i="11"/>
  <c r="L317" i="11"/>
  <c r="K317" i="11"/>
  <c r="I317" i="11"/>
  <c r="J317" i="11" s="1"/>
  <c r="M315" i="11"/>
  <c r="L315" i="11"/>
  <c r="K315" i="11"/>
  <c r="K337" i="11" s="1"/>
  <c r="I315" i="11"/>
  <c r="J315" i="11" s="1"/>
  <c r="F312" i="11"/>
  <c r="M311" i="11"/>
  <c r="L311" i="11"/>
  <c r="K311" i="11"/>
  <c r="J311" i="11"/>
  <c r="I311" i="11"/>
  <c r="L310" i="11"/>
  <c r="K310" i="11"/>
  <c r="M310" i="11" s="1"/>
  <c r="J310" i="11"/>
  <c r="I310" i="11"/>
  <c r="L308" i="11"/>
  <c r="K308" i="11"/>
  <c r="M308" i="11" s="1"/>
  <c r="I308" i="11"/>
  <c r="J308" i="11" s="1"/>
  <c r="L306" i="11"/>
  <c r="M306" i="11" s="1"/>
  <c r="K306" i="11"/>
  <c r="I306" i="11"/>
  <c r="J306" i="11" s="1"/>
  <c r="M304" i="11"/>
  <c r="L304" i="11"/>
  <c r="K304" i="11"/>
  <c r="J304" i="11"/>
  <c r="I304" i="11"/>
  <c r="L303" i="11"/>
  <c r="K303" i="11"/>
  <c r="M303" i="11" s="1"/>
  <c r="J303" i="11"/>
  <c r="I303" i="11"/>
  <c r="L302" i="11"/>
  <c r="K302" i="11"/>
  <c r="M302" i="11" s="1"/>
  <c r="I302" i="11"/>
  <c r="J302" i="11" s="1"/>
  <c r="L301" i="11"/>
  <c r="M301" i="11" s="1"/>
  <c r="K301" i="11"/>
  <c r="I301" i="11"/>
  <c r="J301" i="11" s="1"/>
  <c r="M299" i="11"/>
  <c r="L299" i="11"/>
  <c r="K299" i="11"/>
  <c r="J299" i="11"/>
  <c r="I299" i="11"/>
  <c r="L298" i="11"/>
  <c r="K298" i="11"/>
  <c r="M298" i="11" s="1"/>
  <c r="J298" i="11"/>
  <c r="I298" i="11"/>
  <c r="L296" i="11"/>
  <c r="K296" i="11"/>
  <c r="M296" i="11" s="1"/>
  <c r="I296" i="11"/>
  <c r="J296" i="11" s="1"/>
  <c r="L295" i="11"/>
  <c r="M295" i="11" s="1"/>
  <c r="K295" i="11"/>
  <c r="I295" i="11"/>
  <c r="J295" i="11" s="1"/>
  <c r="M293" i="11"/>
  <c r="L293" i="11"/>
  <c r="K293" i="11"/>
  <c r="J293" i="11"/>
  <c r="I293" i="11"/>
  <c r="L292" i="11"/>
  <c r="K292" i="11"/>
  <c r="M292" i="11" s="1"/>
  <c r="J292" i="11"/>
  <c r="I292" i="11"/>
  <c r="L290" i="11"/>
  <c r="K290" i="11"/>
  <c r="M290" i="11" s="1"/>
  <c r="I290" i="11"/>
  <c r="J290" i="11" s="1"/>
  <c r="L289" i="11"/>
  <c r="M289" i="11" s="1"/>
  <c r="K289" i="11"/>
  <c r="I289" i="11"/>
  <c r="J289" i="11" s="1"/>
  <c r="M288" i="11"/>
  <c r="L288" i="11"/>
  <c r="K288" i="11"/>
  <c r="J288" i="11"/>
  <c r="I288" i="11"/>
  <c r="L287" i="11"/>
  <c r="K287" i="11"/>
  <c r="M287" i="11" s="1"/>
  <c r="J287" i="11"/>
  <c r="I287" i="11"/>
  <c r="L286" i="11"/>
  <c r="K286" i="11"/>
  <c r="M286" i="11" s="1"/>
  <c r="I286" i="11"/>
  <c r="J286" i="11" s="1"/>
  <c r="L284" i="11"/>
  <c r="M284" i="11" s="1"/>
  <c r="K284" i="11"/>
  <c r="I284" i="11"/>
  <c r="J284" i="11" s="1"/>
  <c r="M283" i="11"/>
  <c r="L283" i="11"/>
  <c r="K283" i="11"/>
  <c r="J283" i="11"/>
  <c r="I283" i="11"/>
  <c r="L282" i="11"/>
  <c r="K282" i="11"/>
  <c r="M282" i="11" s="1"/>
  <c r="J282" i="11"/>
  <c r="I282" i="11"/>
  <c r="L281" i="11"/>
  <c r="K281" i="11"/>
  <c r="M281" i="11" s="1"/>
  <c r="I281" i="11"/>
  <c r="J281" i="11" s="1"/>
  <c r="L280" i="11"/>
  <c r="M280" i="11" s="1"/>
  <c r="K280" i="11"/>
  <c r="I280" i="11"/>
  <c r="J280" i="11" s="1"/>
  <c r="M277" i="11"/>
  <c r="L277" i="11"/>
  <c r="K277" i="11"/>
  <c r="J277" i="11"/>
  <c r="I277" i="11"/>
  <c r="L276" i="11"/>
  <c r="L312" i="11" s="1"/>
  <c r="K276" i="11"/>
  <c r="J276" i="11"/>
  <c r="I276" i="11"/>
  <c r="K273" i="11"/>
  <c r="F273" i="11"/>
  <c r="L272" i="11"/>
  <c r="K272" i="11"/>
  <c r="M272" i="11" s="1"/>
  <c r="I272" i="11"/>
  <c r="J272" i="11" s="1"/>
  <c r="M270" i="11"/>
  <c r="L270" i="11"/>
  <c r="K270" i="11"/>
  <c r="I270" i="11"/>
  <c r="J270" i="11" s="1"/>
  <c r="M269" i="11"/>
  <c r="L269" i="11"/>
  <c r="K269" i="11"/>
  <c r="J269" i="11"/>
  <c r="I269" i="11"/>
  <c r="L268" i="11"/>
  <c r="K268" i="11"/>
  <c r="M268" i="11" s="1"/>
  <c r="J268" i="11"/>
  <c r="I268" i="11"/>
  <c r="L267" i="11"/>
  <c r="K267" i="11"/>
  <c r="M267" i="11" s="1"/>
  <c r="I267" i="11"/>
  <c r="J267" i="11" s="1"/>
  <c r="M266" i="11"/>
  <c r="L266" i="11"/>
  <c r="K266" i="11"/>
  <c r="I266" i="11"/>
  <c r="J266" i="11" s="1"/>
  <c r="M265" i="11"/>
  <c r="L265" i="11"/>
  <c r="K265" i="11"/>
  <c r="J265" i="11"/>
  <c r="I265" i="11"/>
  <c r="L264" i="11"/>
  <c r="K264" i="11"/>
  <c r="M264" i="11" s="1"/>
  <c r="J264" i="11"/>
  <c r="I264" i="11"/>
  <c r="L263" i="11"/>
  <c r="K263" i="11"/>
  <c r="M263" i="11" s="1"/>
  <c r="I263" i="11"/>
  <c r="J263" i="11" s="1"/>
  <c r="M262" i="11"/>
  <c r="L262" i="11"/>
  <c r="K262" i="11"/>
  <c r="I262" i="11"/>
  <c r="J262" i="11" s="1"/>
  <c r="M261" i="11"/>
  <c r="L261" i="11"/>
  <c r="K261" i="11"/>
  <c r="J261" i="11"/>
  <c r="I261" i="11"/>
  <c r="L260" i="11"/>
  <c r="K260" i="11"/>
  <c r="M260" i="11" s="1"/>
  <c r="J260" i="11"/>
  <c r="I260" i="11"/>
  <c r="L259" i="11"/>
  <c r="K259" i="11"/>
  <c r="M259" i="11" s="1"/>
  <c r="I259" i="11"/>
  <c r="J259" i="11" s="1"/>
  <c r="M258" i="11"/>
  <c r="L258" i="11"/>
  <c r="K258" i="11"/>
  <c r="I258" i="11"/>
  <c r="J258" i="11" s="1"/>
  <c r="M257" i="11"/>
  <c r="L257" i="11"/>
  <c r="K257" i="11"/>
  <c r="J257" i="11"/>
  <c r="I257" i="11"/>
  <c r="L256" i="11"/>
  <c r="K256" i="11"/>
  <c r="M256" i="11" s="1"/>
  <c r="J256" i="11"/>
  <c r="I256" i="11"/>
  <c r="L255" i="11"/>
  <c r="K255" i="11"/>
  <c r="M255" i="11" s="1"/>
  <c r="I255" i="11"/>
  <c r="J255" i="11" s="1"/>
  <c r="M254" i="11"/>
  <c r="L254" i="11"/>
  <c r="K254" i="11"/>
  <c r="I254" i="11"/>
  <c r="J254" i="11" s="1"/>
  <c r="M253" i="11"/>
  <c r="L253" i="11"/>
  <c r="K253" i="11"/>
  <c r="J253" i="11"/>
  <c r="I253" i="11"/>
  <c r="L251" i="11"/>
  <c r="K251" i="11"/>
  <c r="M251" i="11" s="1"/>
  <c r="J251" i="11"/>
  <c r="I251" i="11"/>
  <c r="L250" i="11"/>
  <c r="K250" i="11"/>
  <c r="M250" i="11" s="1"/>
  <c r="I250" i="11"/>
  <c r="J250" i="11" s="1"/>
  <c r="M249" i="11"/>
  <c r="L249" i="11"/>
  <c r="K249" i="11"/>
  <c r="I249" i="11"/>
  <c r="J249" i="11" s="1"/>
  <c r="M248" i="11"/>
  <c r="L248" i="11"/>
  <c r="K248" i="11"/>
  <c r="J248" i="11"/>
  <c r="I248" i="11"/>
  <c r="L247" i="11"/>
  <c r="K247" i="11"/>
  <c r="M247" i="11" s="1"/>
  <c r="J247" i="11"/>
  <c r="I247" i="11"/>
  <c r="L245" i="11"/>
  <c r="K245" i="11"/>
  <c r="M245" i="11" s="1"/>
  <c r="I245" i="11"/>
  <c r="J245" i="11" s="1"/>
  <c r="M244" i="11"/>
  <c r="L244" i="11"/>
  <c r="K244" i="11"/>
  <c r="I244" i="11"/>
  <c r="J244" i="11" s="1"/>
  <c r="M243" i="11"/>
  <c r="L243" i="11"/>
  <c r="K243" i="11"/>
  <c r="J243" i="11"/>
  <c r="I243" i="11"/>
  <c r="L241" i="11"/>
  <c r="K241" i="11"/>
  <c r="M241" i="11" s="1"/>
  <c r="J241" i="11"/>
  <c r="I241" i="11"/>
  <c r="L240" i="11"/>
  <c r="K240" i="11"/>
  <c r="M240" i="11" s="1"/>
  <c r="I240" i="11"/>
  <c r="J240" i="11" s="1"/>
  <c r="M238" i="11"/>
  <c r="L238" i="11"/>
  <c r="K238" i="11"/>
  <c r="I238" i="11"/>
  <c r="J238" i="11" s="1"/>
  <c r="M236" i="11"/>
  <c r="L236" i="11"/>
  <c r="K236" i="11"/>
  <c r="J236" i="11"/>
  <c r="I236" i="11"/>
  <c r="L234" i="11"/>
  <c r="K234" i="11"/>
  <c r="M234" i="11" s="1"/>
  <c r="J234" i="11"/>
  <c r="I234" i="11"/>
  <c r="L233" i="11"/>
  <c r="K233" i="11"/>
  <c r="M233" i="11" s="1"/>
  <c r="I233" i="11"/>
  <c r="J233" i="11" s="1"/>
  <c r="M232" i="11"/>
  <c r="L232" i="11"/>
  <c r="K232" i="11"/>
  <c r="I232" i="11"/>
  <c r="J232" i="11" s="1"/>
  <c r="M231" i="11"/>
  <c r="L231" i="11"/>
  <c r="K231" i="11"/>
  <c r="J231" i="11"/>
  <c r="I231" i="11"/>
  <c r="L230" i="11"/>
  <c r="K230" i="11"/>
  <c r="M230" i="11" s="1"/>
  <c r="J230" i="11"/>
  <c r="I230" i="11"/>
  <c r="L228" i="11"/>
  <c r="L273" i="11" s="1"/>
  <c r="K228" i="11"/>
  <c r="M228" i="11" s="1"/>
  <c r="I228" i="11"/>
  <c r="J228" i="11" s="1"/>
  <c r="F225" i="11"/>
  <c r="M224" i="11"/>
  <c r="L224" i="11"/>
  <c r="K224" i="11"/>
  <c r="I224" i="11"/>
  <c r="J224" i="11" s="1"/>
  <c r="M222" i="11"/>
  <c r="L222" i="11"/>
  <c r="K222" i="11"/>
  <c r="I222" i="11"/>
  <c r="J222" i="11" s="1"/>
  <c r="L220" i="11"/>
  <c r="K220" i="11"/>
  <c r="M220" i="11" s="1"/>
  <c r="J220" i="11"/>
  <c r="I220" i="11"/>
  <c r="L219" i="11"/>
  <c r="K219" i="11"/>
  <c r="I219" i="11"/>
  <c r="J219" i="11" s="1"/>
  <c r="M218" i="11"/>
  <c r="L218" i="11"/>
  <c r="K218" i="11"/>
  <c r="I218" i="11"/>
  <c r="J218" i="11" s="1"/>
  <c r="M217" i="11"/>
  <c r="L217" i="11"/>
  <c r="K217" i="11"/>
  <c r="I217" i="11"/>
  <c r="J217" i="11" s="1"/>
  <c r="L216" i="11"/>
  <c r="K216" i="11"/>
  <c r="M216" i="11" s="1"/>
  <c r="J216" i="11"/>
  <c r="I216" i="11"/>
  <c r="L215" i="11"/>
  <c r="K215" i="11"/>
  <c r="I215" i="11"/>
  <c r="J215" i="11" s="1"/>
  <c r="M213" i="11"/>
  <c r="L213" i="11"/>
  <c r="K213" i="11"/>
  <c r="I213" i="11"/>
  <c r="J213" i="11" s="1"/>
  <c r="M212" i="11"/>
  <c r="L212" i="11"/>
  <c r="K212" i="11"/>
  <c r="I212" i="11"/>
  <c r="J212" i="11" s="1"/>
  <c r="L211" i="11"/>
  <c r="K211" i="11"/>
  <c r="M211" i="11" s="1"/>
  <c r="J211" i="11"/>
  <c r="I211" i="11"/>
  <c r="L210" i="11"/>
  <c r="K210" i="11"/>
  <c r="I210" i="11"/>
  <c r="J210" i="11" s="1"/>
  <c r="M208" i="11"/>
  <c r="L208" i="11"/>
  <c r="K208" i="11"/>
  <c r="I208" i="11"/>
  <c r="J208" i="11" s="1"/>
  <c r="M207" i="11"/>
  <c r="L207" i="11"/>
  <c r="K207" i="11"/>
  <c r="I207" i="11"/>
  <c r="J207" i="11" s="1"/>
  <c r="L205" i="11"/>
  <c r="K205" i="11"/>
  <c r="M205" i="11" s="1"/>
  <c r="J205" i="11"/>
  <c r="I205" i="11"/>
  <c r="L203" i="11"/>
  <c r="K203" i="11"/>
  <c r="I203" i="11"/>
  <c r="J203" i="11" s="1"/>
  <c r="M201" i="11"/>
  <c r="L201" i="11"/>
  <c r="K201" i="11"/>
  <c r="I201" i="11"/>
  <c r="J201" i="11" s="1"/>
  <c r="M200" i="11"/>
  <c r="L200" i="11"/>
  <c r="K200" i="11"/>
  <c r="I200" i="11"/>
  <c r="J200" i="11" s="1"/>
  <c r="L199" i="11"/>
  <c r="K199" i="11"/>
  <c r="M199" i="11" s="1"/>
  <c r="J199" i="11"/>
  <c r="I199" i="11"/>
  <c r="L198" i="11"/>
  <c r="K198" i="11"/>
  <c r="I198" i="11"/>
  <c r="J198" i="11" s="1"/>
  <c r="M197" i="11"/>
  <c r="L197" i="11"/>
  <c r="L225" i="11" s="1"/>
  <c r="K197" i="11"/>
  <c r="I197" i="11"/>
  <c r="J197" i="11" s="1"/>
  <c r="M195" i="11"/>
  <c r="L195" i="11"/>
  <c r="K195" i="11"/>
  <c r="K225" i="11" s="1"/>
  <c r="I195" i="11"/>
  <c r="J195" i="11" s="1"/>
  <c r="F192" i="11"/>
  <c r="L191" i="11"/>
  <c r="K191" i="11"/>
  <c r="M191" i="11" s="1"/>
  <c r="J191" i="11"/>
  <c r="I191" i="11"/>
  <c r="L190" i="11"/>
  <c r="K190" i="11"/>
  <c r="M190" i="11" s="1"/>
  <c r="I190" i="11"/>
  <c r="J190" i="11" s="1"/>
  <c r="L188" i="11"/>
  <c r="M188" i="11" s="1"/>
  <c r="K188" i="11"/>
  <c r="I188" i="11"/>
  <c r="J188" i="11" s="1"/>
  <c r="M186" i="11"/>
  <c r="L186" i="11"/>
  <c r="K186" i="11"/>
  <c r="J186" i="11"/>
  <c r="I186" i="11"/>
  <c r="L185" i="11"/>
  <c r="K185" i="11"/>
  <c r="M185" i="11" s="1"/>
  <c r="J185" i="11"/>
  <c r="I185" i="11"/>
  <c r="L183" i="11"/>
  <c r="K183" i="11"/>
  <c r="M183" i="11" s="1"/>
  <c r="I183" i="11"/>
  <c r="J183" i="11" s="1"/>
  <c r="L181" i="11"/>
  <c r="M181" i="11" s="1"/>
  <c r="K181" i="11"/>
  <c r="I181" i="11"/>
  <c r="J181" i="11" s="1"/>
  <c r="L180" i="11"/>
  <c r="K180" i="11"/>
  <c r="M180" i="11" s="1"/>
  <c r="J180" i="11"/>
  <c r="I180" i="11"/>
  <c r="L178" i="11"/>
  <c r="K178" i="11"/>
  <c r="M178" i="11" s="1"/>
  <c r="J178" i="11"/>
  <c r="I178" i="11"/>
  <c r="L176" i="11"/>
  <c r="K176" i="11"/>
  <c r="M176" i="11" s="1"/>
  <c r="I176" i="11"/>
  <c r="J176" i="11" s="1"/>
  <c r="L174" i="11"/>
  <c r="M174" i="11" s="1"/>
  <c r="K174" i="11"/>
  <c r="I174" i="11"/>
  <c r="J174" i="11" s="1"/>
  <c r="M173" i="11"/>
  <c r="L173" i="11"/>
  <c r="K173" i="11"/>
  <c r="I173" i="11"/>
  <c r="J173" i="11" s="1"/>
  <c r="L172" i="11"/>
  <c r="K172" i="11"/>
  <c r="J172" i="11"/>
  <c r="I172" i="11"/>
  <c r="M171" i="11"/>
  <c r="L171" i="11"/>
  <c r="K171" i="11"/>
  <c r="I171" i="11"/>
  <c r="J171" i="11" s="1"/>
  <c r="M170" i="11"/>
  <c r="L170" i="11"/>
  <c r="K170" i="11"/>
  <c r="J170" i="11"/>
  <c r="I170" i="11"/>
  <c r="L168" i="11"/>
  <c r="K168" i="11"/>
  <c r="J168" i="11"/>
  <c r="I168" i="11"/>
  <c r="L164" i="11"/>
  <c r="K164" i="11"/>
  <c r="M164" i="11" s="1"/>
  <c r="I164" i="11"/>
  <c r="J164" i="11" s="1"/>
  <c r="M163" i="11"/>
  <c r="L163" i="11"/>
  <c r="K163" i="11"/>
  <c r="I163" i="11"/>
  <c r="J163" i="11" s="1"/>
  <c r="M162" i="11"/>
  <c r="L162" i="11"/>
  <c r="K162" i="11"/>
  <c r="J162" i="11"/>
  <c r="I162" i="11"/>
  <c r="L161" i="11"/>
  <c r="K161" i="11"/>
  <c r="M161" i="11" s="1"/>
  <c r="J161" i="11"/>
  <c r="I161" i="11"/>
  <c r="L160" i="11"/>
  <c r="K160" i="11"/>
  <c r="M160" i="11" s="1"/>
  <c r="I160" i="11"/>
  <c r="J160" i="11" s="1"/>
  <c r="M159" i="11"/>
  <c r="L159" i="11"/>
  <c r="K159" i="11"/>
  <c r="I159" i="11"/>
  <c r="J159" i="11" s="1"/>
  <c r="M158" i="11"/>
  <c r="L158" i="11"/>
  <c r="K158" i="11"/>
  <c r="J158" i="11"/>
  <c r="I158" i="11"/>
  <c r="L157" i="11"/>
  <c r="K157" i="11"/>
  <c r="M157" i="11" s="1"/>
  <c r="J157" i="11"/>
  <c r="I157" i="11"/>
  <c r="L156" i="11"/>
  <c r="K156" i="11"/>
  <c r="M156" i="11" s="1"/>
  <c r="I156" i="11"/>
  <c r="J156" i="11" s="1"/>
  <c r="M155" i="11"/>
  <c r="L155" i="11"/>
  <c r="K155" i="11"/>
  <c r="I155" i="11"/>
  <c r="J155" i="11" s="1"/>
  <c r="M154" i="11"/>
  <c r="L154" i="11"/>
  <c r="K154" i="11"/>
  <c r="J154" i="11"/>
  <c r="I154" i="11"/>
  <c r="L153" i="11"/>
  <c r="K153" i="11"/>
  <c r="M153" i="11" s="1"/>
  <c r="J153" i="11"/>
  <c r="I153" i="11"/>
  <c r="L152" i="11"/>
  <c r="K152" i="11"/>
  <c r="M152" i="11" s="1"/>
  <c r="I152" i="11"/>
  <c r="J152" i="11" s="1"/>
  <c r="M151" i="11"/>
  <c r="L151" i="11"/>
  <c r="K151" i="11"/>
  <c r="I151" i="11"/>
  <c r="J151" i="11" s="1"/>
  <c r="M150" i="11"/>
  <c r="L150" i="11"/>
  <c r="K150" i="11"/>
  <c r="J150" i="11"/>
  <c r="I150" i="11"/>
  <c r="L148" i="11"/>
  <c r="K148" i="11"/>
  <c r="M148" i="11" s="1"/>
  <c r="J148" i="11"/>
  <c r="I148" i="11"/>
  <c r="L147" i="11"/>
  <c r="K147" i="11"/>
  <c r="M147" i="11" s="1"/>
  <c r="I147" i="11"/>
  <c r="J147" i="11" s="1"/>
  <c r="M146" i="11"/>
  <c r="L146" i="11"/>
  <c r="K146" i="11"/>
  <c r="I146" i="11"/>
  <c r="J146" i="11" s="1"/>
  <c r="M145" i="11"/>
  <c r="L145" i="11"/>
  <c r="K145" i="11"/>
  <c r="J145" i="11"/>
  <c r="I145" i="11"/>
  <c r="L144" i="11"/>
  <c r="K144" i="11"/>
  <c r="M144" i="11" s="1"/>
  <c r="J144" i="11"/>
  <c r="I144" i="11"/>
  <c r="L143" i="11"/>
  <c r="K143" i="11"/>
  <c r="M143" i="11" s="1"/>
  <c r="I143" i="11"/>
  <c r="J143" i="11" s="1"/>
  <c r="M142" i="11"/>
  <c r="L142" i="11"/>
  <c r="K142" i="11"/>
  <c r="I142" i="11"/>
  <c r="J142" i="11" s="1"/>
  <c r="M141" i="11"/>
  <c r="L141" i="11"/>
  <c r="K141" i="11"/>
  <c r="J141" i="11"/>
  <c r="I141" i="11"/>
  <c r="L140" i="11"/>
  <c r="K140" i="11"/>
  <c r="M140" i="11" s="1"/>
  <c r="J140" i="11"/>
  <c r="I140" i="11"/>
  <c r="L139" i="11"/>
  <c r="K139" i="11"/>
  <c r="M139" i="11" s="1"/>
  <c r="I139" i="11"/>
  <c r="J139" i="11" s="1"/>
  <c r="M138" i="11"/>
  <c r="L138" i="11"/>
  <c r="K138" i="11"/>
  <c r="I138" i="11"/>
  <c r="J138" i="11" s="1"/>
  <c r="M137" i="11"/>
  <c r="L137" i="11"/>
  <c r="K137" i="11"/>
  <c r="J137" i="11"/>
  <c r="I137" i="11"/>
  <c r="L136" i="11"/>
  <c r="K136" i="11"/>
  <c r="M136" i="11" s="1"/>
  <c r="J136" i="11"/>
  <c r="I136" i="11"/>
  <c r="L135" i="11"/>
  <c r="K135" i="11"/>
  <c r="M135" i="11" s="1"/>
  <c r="I135" i="11"/>
  <c r="J135" i="11" s="1"/>
  <c r="M134" i="11"/>
  <c r="L134" i="11"/>
  <c r="K134" i="11"/>
  <c r="I134" i="11"/>
  <c r="J134" i="11" s="1"/>
  <c r="M133" i="11"/>
  <c r="F133" i="11"/>
  <c r="F165" i="11" s="1"/>
  <c r="L132" i="11"/>
  <c r="K132" i="11"/>
  <c r="J132" i="11"/>
  <c r="I132" i="11"/>
  <c r="M131" i="11"/>
  <c r="L131" i="11"/>
  <c r="K131" i="11"/>
  <c r="I131" i="11"/>
  <c r="J131" i="11" s="1"/>
  <c r="M130" i="11"/>
  <c r="L130" i="11"/>
  <c r="K130" i="11"/>
  <c r="J130" i="11"/>
  <c r="I130" i="11"/>
  <c r="L129" i="11"/>
  <c r="K129" i="11"/>
  <c r="M129" i="11" s="1"/>
  <c r="J129" i="11"/>
  <c r="I129" i="11"/>
  <c r="L128" i="11"/>
  <c r="K128" i="11"/>
  <c r="M128" i="11" s="1"/>
  <c r="I128" i="11"/>
  <c r="J128" i="11" s="1"/>
  <c r="M127" i="11"/>
  <c r="L127" i="11"/>
  <c r="K127" i="11"/>
  <c r="I127" i="11"/>
  <c r="J127" i="11" s="1"/>
  <c r="M126" i="11"/>
  <c r="L126" i="11"/>
  <c r="K126" i="11"/>
  <c r="J126" i="11"/>
  <c r="I126" i="11"/>
  <c r="L125" i="11"/>
  <c r="K125" i="11"/>
  <c r="M125" i="11" s="1"/>
  <c r="J125" i="11"/>
  <c r="I125" i="11"/>
  <c r="L124" i="11"/>
  <c r="K124" i="11"/>
  <c r="M124" i="11" s="1"/>
  <c r="I124" i="11"/>
  <c r="J124" i="11" s="1"/>
  <c r="M123" i="11"/>
  <c r="L123" i="11"/>
  <c r="K123" i="11"/>
  <c r="I123" i="11"/>
  <c r="J123" i="11" s="1"/>
  <c r="M122" i="11"/>
  <c r="L122" i="11"/>
  <c r="K122" i="11"/>
  <c r="J122" i="11"/>
  <c r="I122" i="11"/>
  <c r="L121" i="11"/>
  <c r="K121" i="11"/>
  <c r="M121" i="11" s="1"/>
  <c r="J121" i="11"/>
  <c r="I121" i="11"/>
  <c r="L120" i="11"/>
  <c r="K120" i="11"/>
  <c r="M120" i="11" s="1"/>
  <c r="J120" i="11"/>
  <c r="I120" i="11"/>
  <c r="M119" i="11"/>
  <c r="L119" i="11"/>
  <c r="K119" i="11"/>
  <c r="I119" i="11"/>
  <c r="J119" i="11" s="1"/>
  <c r="M118" i="11"/>
  <c r="L118" i="11"/>
  <c r="K118" i="11"/>
  <c r="J118" i="11"/>
  <c r="I118" i="11"/>
  <c r="L117" i="11"/>
  <c r="K117" i="11"/>
  <c r="M117" i="11" s="1"/>
  <c r="J117" i="11"/>
  <c r="I117" i="11"/>
  <c r="L116" i="11"/>
  <c r="K116" i="11"/>
  <c r="I116" i="11"/>
  <c r="J116" i="11" s="1"/>
  <c r="M115" i="11"/>
  <c r="L115" i="11"/>
  <c r="K115" i="11"/>
  <c r="I115" i="11"/>
  <c r="J115" i="11" s="1"/>
  <c r="M114" i="11"/>
  <c r="L114" i="11"/>
  <c r="K114" i="11"/>
  <c r="J114" i="11"/>
  <c r="I114" i="11"/>
  <c r="L113" i="11"/>
  <c r="K113" i="11"/>
  <c r="M113" i="11" s="1"/>
  <c r="J113" i="11"/>
  <c r="I113" i="11"/>
  <c r="L112" i="11"/>
  <c r="K112" i="11"/>
  <c r="I112" i="11"/>
  <c r="J112" i="11" s="1"/>
  <c r="M111" i="11"/>
  <c r="L111" i="11"/>
  <c r="K111" i="11"/>
  <c r="I111" i="11"/>
  <c r="J111" i="11" s="1"/>
  <c r="M110" i="11"/>
  <c r="L110" i="11"/>
  <c r="K110" i="11"/>
  <c r="J110" i="11"/>
  <c r="I110" i="11"/>
  <c r="L109" i="11"/>
  <c r="K109" i="11"/>
  <c r="M109" i="11" s="1"/>
  <c r="J109" i="11"/>
  <c r="I109" i="11"/>
  <c r="L108" i="11"/>
  <c r="K108" i="11"/>
  <c r="I108" i="11"/>
  <c r="J108" i="11" s="1"/>
  <c r="M107" i="11"/>
  <c r="L107" i="11"/>
  <c r="K107" i="11"/>
  <c r="I107" i="11"/>
  <c r="J107" i="11" s="1"/>
  <c r="M106" i="11"/>
  <c r="L106" i="11"/>
  <c r="K106" i="11"/>
  <c r="J106" i="11"/>
  <c r="I106" i="11"/>
  <c r="L105" i="11"/>
  <c r="K105" i="11"/>
  <c r="M105" i="11" s="1"/>
  <c r="J105" i="11"/>
  <c r="I105" i="11"/>
  <c r="L104" i="11"/>
  <c r="L165" i="11" s="1"/>
  <c r="K104" i="11"/>
  <c r="I104" i="11"/>
  <c r="J104" i="11" s="1"/>
  <c r="M103" i="11"/>
  <c r="L103" i="11"/>
  <c r="K103" i="11"/>
  <c r="I103" i="11"/>
  <c r="J103" i="11" s="1"/>
  <c r="F100" i="11"/>
  <c r="M99" i="11"/>
  <c r="L99" i="11"/>
  <c r="K99" i="11"/>
  <c r="J99" i="11"/>
  <c r="I99" i="11"/>
  <c r="L98" i="11"/>
  <c r="K98" i="11"/>
  <c r="M98" i="11" s="1"/>
  <c r="J98" i="11"/>
  <c r="I98" i="11"/>
  <c r="L97" i="11"/>
  <c r="K97" i="11"/>
  <c r="M97" i="11" s="1"/>
  <c r="I97" i="11"/>
  <c r="J97" i="11" s="1"/>
  <c r="M96" i="11"/>
  <c r="L96" i="11"/>
  <c r="K96" i="11"/>
  <c r="I96" i="11"/>
  <c r="J96" i="11" s="1"/>
  <c r="M95" i="11"/>
  <c r="L95" i="11"/>
  <c r="K95" i="11"/>
  <c r="J95" i="11"/>
  <c r="I95" i="11"/>
  <c r="L94" i="11"/>
  <c r="K94" i="11"/>
  <c r="M94" i="11" s="1"/>
  <c r="J94" i="11"/>
  <c r="I94" i="11"/>
  <c r="L93" i="11"/>
  <c r="K93" i="11"/>
  <c r="M93" i="11" s="1"/>
  <c r="I93" i="11"/>
  <c r="J93" i="11" s="1"/>
  <c r="M92" i="11"/>
  <c r="L92" i="11"/>
  <c r="K92" i="11"/>
  <c r="I92" i="11"/>
  <c r="J92" i="11" s="1"/>
  <c r="M90" i="11"/>
  <c r="L90" i="11"/>
  <c r="K90" i="11"/>
  <c r="J90" i="11"/>
  <c r="I90" i="11"/>
  <c r="L88" i="11"/>
  <c r="K88" i="11"/>
  <c r="M88" i="11" s="1"/>
  <c r="J88" i="11"/>
  <c r="I88" i="11"/>
  <c r="L87" i="11"/>
  <c r="K87" i="11"/>
  <c r="M87" i="11" s="1"/>
  <c r="I87" i="11"/>
  <c r="J87" i="11" s="1"/>
  <c r="M86" i="11"/>
  <c r="L86" i="11"/>
  <c r="K86" i="11"/>
  <c r="I86" i="11"/>
  <c r="J86" i="11" s="1"/>
  <c r="M85" i="11"/>
  <c r="L85" i="11"/>
  <c r="K85" i="11"/>
  <c r="J85" i="11"/>
  <c r="I85" i="11"/>
  <c r="L84" i="11"/>
  <c r="K84" i="11"/>
  <c r="M84" i="11" s="1"/>
  <c r="J84" i="11"/>
  <c r="I84" i="11"/>
  <c r="L83" i="11"/>
  <c r="K83" i="11"/>
  <c r="M83" i="11" s="1"/>
  <c r="I83" i="11"/>
  <c r="J83" i="11" s="1"/>
  <c r="M82" i="11"/>
  <c r="L82" i="11"/>
  <c r="K82" i="11"/>
  <c r="I82" i="11"/>
  <c r="J82" i="11" s="1"/>
  <c r="M81" i="11"/>
  <c r="L81" i="11"/>
  <c r="K81" i="11"/>
  <c r="J81" i="11"/>
  <c r="I81" i="11"/>
  <c r="L80" i="11"/>
  <c r="K80" i="11"/>
  <c r="M80" i="11" s="1"/>
  <c r="J80" i="11"/>
  <c r="I80" i="11"/>
  <c r="L79" i="11"/>
  <c r="K79" i="11"/>
  <c r="M79" i="11" s="1"/>
  <c r="I79" i="11"/>
  <c r="J79" i="11" s="1"/>
  <c r="M78" i="11"/>
  <c r="L78" i="11"/>
  <c r="K78" i="11"/>
  <c r="I78" i="11"/>
  <c r="J78" i="11" s="1"/>
  <c r="M77" i="11"/>
  <c r="L77" i="11"/>
  <c r="K77" i="11"/>
  <c r="J77" i="11"/>
  <c r="I77" i="11"/>
  <c r="L76" i="11"/>
  <c r="K76" i="11"/>
  <c r="M76" i="11" s="1"/>
  <c r="J76" i="11"/>
  <c r="I76" i="11"/>
  <c r="L75" i="11"/>
  <c r="K75" i="11"/>
  <c r="M75" i="11" s="1"/>
  <c r="I75" i="11"/>
  <c r="J75" i="11" s="1"/>
  <c r="M74" i="11"/>
  <c r="L74" i="11"/>
  <c r="K74" i="11"/>
  <c r="I74" i="11"/>
  <c r="J74" i="11" s="1"/>
  <c r="M73" i="11"/>
  <c r="L73" i="11"/>
  <c r="K73" i="11"/>
  <c r="J73" i="11"/>
  <c r="I73" i="11"/>
  <c r="L71" i="11"/>
  <c r="K71" i="11"/>
  <c r="M71" i="11" s="1"/>
  <c r="J71" i="11"/>
  <c r="I71" i="11"/>
  <c r="L70" i="11"/>
  <c r="K70" i="11"/>
  <c r="M70" i="11" s="1"/>
  <c r="I70" i="11"/>
  <c r="J70" i="11" s="1"/>
  <c r="M69" i="11"/>
  <c r="L69" i="11"/>
  <c r="K69" i="11"/>
  <c r="I69" i="11"/>
  <c r="J69" i="11" s="1"/>
  <c r="M68" i="11"/>
  <c r="L68" i="11"/>
  <c r="K68" i="11"/>
  <c r="I68" i="11"/>
  <c r="J68" i="11" s="1"/>
  <c r="L66" i="11"/>
  <c r="K66" i="11"/>
  <c r="M66" i="11" s="1"/>
  <c r="J66" i="11"/>
  <c r="I66" i="11"/>
  <c r="L65" i="11"/>
  <c r="L100" i="11" s="1"/>
  <c r="K65" i="11"/>
  <c r="J65" i="11"/>
  <c r="I65" i="11"/>
  <c r="L62" i="11"/>
  <c r="F62" i="11"/>
  <c r="M61" i="11"/>
  <c r="L61" i="11"/>
  <c r="K61" i="11"/>
  <c r="I61" i="11"/>
  <c r="J61" i="11" s="1"/>
  <c r="M59" i="11"/>
  <c r="L59" i="11"/>
  <c r="K59" i="11"/>
  <c r="I59" i="11"/>
  <c r="J59" i="11" s="1"/>
  <c r="L58" i="11"/>
  <c r="K58" i="11"/>
  <c r="M58" i="11" s="1"/>
  <c r="J58" i="11"/>
  <c r="I58" i="11"/>
  <c r="L57" i="11"/>
  <c r="K57" i="11"/>
  <c r="M57" i="11" s="1"/>
  <c r="I57" i="11"/>
  <c r="J57" i="11" s="1"/>
  <c r="M56" i="11"/>
  <c r="L56" i="11"/>
  <c r="K56" i="11"/>
  <c r="I56" i="11"/>
  <c r="J56" i="11" s="1"/>
  <c r="M55" i="11"/>
  <c r="L55" i="11"/>
  <c r="K55" i="11"/>
  <c r="I55" i="11"/>
  <c r="J55" i="11" s="1"/>
  <c r="L54" i="11"/>
  <c r="K54" i="11"/>
  <c r="M54" i="11" s="1"/>
  <c r="J54" i="11"/>
  <c r="I54" i="11"/>
  <c r="L52" i="11"/>
  <c r="K52" i="11"/>
  <c r="M52" i="11" s="1"/>
  <c r="I52" i="11"/>
  <c r="J52" i="11" s="1"/>
  <c r="M50" i="11"/>
  <c r="L50" i="11"/>
  <c r="K50" i="11"/>
  <c r="K62" i="11" s="1"/>
  <c r="M62" i="11" s="1"/>
  <c r="I50" i="11"/>
  <c r="J50" i="11" s="1"/>
  <c r="M46" i="11"/>
  <c r="L46" i="11"/>
  <c r="K46" i="11"/>
  <c r="I46" i="11"/>
  <c r="J46" i="11" s="1"/>
  <c r="L45" i="11"/>
  <c r="K45" i="11"/>
  <c r="M45" i="11" s="1"/>
  <c r="J45" i="11"/>
  <c r="I45" i="11"/>
  <c r="L43" i="11"/>
  <c r="K43" i="11"/>
  <c r="M43" i="11" s="1"/>
  <c r="I43" i="11"/>
  <c r="J43" i="11" s="1"/>
  <c r="F43" i="11"/>
  <c r="F47" i="11" s="1"/>
  <c r="C43" i="11"/>
  <c r="M41" i="11"/>
  <c r="L41" i="11"/>
  <c r="K41" i="11"/>
  <c r="I41" i="11"/>
  <c r="J41" i="11" s="1"/>
  <c r="L39" i="11"/>
  <c r="M39" i="11" s="1"/>
  <c r="K39" i="11"/>
  <c r="J39" i="11"/>
  <c r="I39" i="11"/>
  <c r="L38" i="11"/>
  <c r="K38" i="11"/>
  <c r="M38" i="11" s="1"/>
  <c r="I38" i="11"/>
  <c r="J38" i="11" s="1"/>
  <c r="L37" i="11"/>
  <c r="K37" i="11"/>
  <c r="M37" i="11" s="1"/>
  <c r="J37" i="11"/>
  <c r="I37" i="11"/>
  <c r="M36" i="11"/>
  <c r="L36" i="11"/>
  <c r="K36" i="11"/>
  <c r="I36" i="11"/>
  <c r="J36" i="11" s="1"/>
  <c r="L35" i="11"/>
  <c r="M35" i="11" s="1"/>
  <c r="K35" i="11"/>
  <c r="J35" i="11"/>
  <c r="I35" i="11"/>
  <c r="L32" i="11"/>
  <c r="K32" i="11"/>
  <c r="K47" i="11" s="1"/>
  <c r="I32" i="11"/>
  <c r="J32" i="11" s="1"/>
  <c r="F29" i="11"/>
  <c r="L28" i="11"/>
  <c r="K28" i="11"/>
  <c r="M28" i="11" s="1"/>
  <c r="J28" i="11"/>
  <c r="I28" i="11"/>
  <c r="M27" i="11"/>
  <c r="L27" i="11"/>
  <c r="K27" i="11"/>
  <c r="I27" i="11"/>
  <c r="J27" i="11" s="1"/>
  <c r="L26" i="11"/>
  <c r="M26" i="11" s="1"/>
  <c r="K26" i="11"/>
  <c r="J26" i="11"/>
  <c r="I26" i="11"/>
  <c r="L25" i="11"/>
  <c r="K25" i="11"/>
  <c r="M25" i="11" s="1"/>
  <c r="I25" i="11"/>
  <c r="J25" i="11" s="1"/>
  <c r="L24" i="11"/>
  <c r="K24" i="11"/>
  <c r="M24" i="11" s="1"/>
  <c r="J24" i="11"/>
  <c r="I24" i="11"/>
  <c r="M23" i="11"/>
  <c r="L23" i="11"/>
  <c r="K23" i="11"/>
  <c r="I23" i="11"/>
  <c r="J23" i="11" s="1"/>
  <c r="L22" i="11"/>
  <c r="M22" i="11" s="1"/>
  <c r="K22" i="11"/>
  <c r="J22" i="11"/>
  <c r="I22" i="11"/>
  <c r="L21" i="11"/>
  <c r="K21" i="11"/>
  <c r="M21" i="11" s="1"/>
  <c r="I21" i="11"/>
  <c r="J21" i="11" s="1"/>
  <c r="L20" i="11"/>
  <c r="L29" i="11" s="1"/>
  <c r="K20" i="11"/>
  <c r="M20" i="11" s="1"/>
  <c r="J20" i="11"/>
  <c r="I20" i="11"/>
  <c r="M19" i="11"/>
  <c r="L19" i="11"/>
  <c r="K19" i="11"/>
  <c r="K29" i="11" s="1"/>
  <c r="M29" i="11" s="1"/>
  <c r="I19" i="11"/>
  <c r="J19" i="11" s="1"/>
  <c r="L18" i="11"/>
  <c r="M18" i="11" s="1"/>
  <c r="K18" i="11"/>
  <c r="J18" i="11"/>
  <c r="I18" i="11"/>
  <c r="L14" i="11"/>
  <c r="K14" i="11"/>
  <c r="M14" i="11" s="1"/>
  <c r="I14" i="11"/>
  <c r="J14" i="11" s="1"/>
  <c r="F14" i="11"/>
  <c r="M13" i="11"/>
  <c r="L13" i="11"/>
  <c r="K13" i="11"/>
  <c r="I13" i="11"/>
  <c r="J13" i="11" s="1"/>
  <c r="F13" i="11"/>
  <c r="F15" i="11" s="1"/>
  <c r="L12" i="11"/>
  <c r="L15" i="11" s="1"/>
  <c r="K12" i="11"/>
  <c r="M12" i="11" s="1"/>
  <c r="I12" i="11"/>
  <c r="J12" i="11" s="1"/>
  <c r="F12" i="11"/>
  <c r="L399" i="10"/>
  <c r="J399" i="10"/>
  <c r="H399" i="10"/>
  <c r="L397" i="10"/>
  <c r="E390" i="10"/>
  <c r="L359" i="10"/>
  <c r="F359" i="10"/>
  <c r="L358" i="10"/>
  <c r="K358" i="10"/>
  <c r="M358" i="10" s="1"/>
  <c r="J358" i="10"/>
  <c r="I358" i="10"/>
  <c r="L356" i="10"/>
  <c r="K356" i="10"/>
  <c r="M356" i="10" s="1"/>
  <c r="I356" i="10"/>
  <c r="J356" i="10" s="1"/>
  <c r="L354" i="10"/>
  <c r="M354" i="10" s="1"/>
  <c r="K354" i="10"/>
  <c r="J354" i="10"/>
  <c r="I354" i="10"/>
  <c r="L353" i="10"/>
  <c r="K353" i="10"/>
  <c r="M353" i="10" s="1"/>
  <c r="I353" i="10"/>
  <c r="J353" i="10" s="1"/>
  <c r="L351" i="10"/>
  <c r="K351" i="10"/>
  <c r="M351" i="10" s="1"/>
  <c r="J351" i="10"/>
  <c r="I351" i="10"/>
  <c r="L349" i="10"/>
  <c r="K349" i="10"/>
  <c r="M349" i="10" s="1"/>
  <c r="I349" i="10"/>
  <c r="J349" i="10" s="1"/>
  <c r="L348" i="10"/>
  <c r="M348" i="10" s="1"/>
  <c r="K348" i="10"/>
  <c r="J348" i="10"/>
  <c r="I348" i="10"/>
  <c r="L346" i="10"/>
  <c r="K346" i="10"/>
  <c r="M346" i="10" s="1"/>
  <c r="I346" i="10"/>
  <c r="J346" i="10" s="1"/>
  <c r="L345" i="10"/>
  <c r="K345" i="10"/>
  <c r="M345" i="10" s="1"/>
  <c r="J345" i="10"/>
  <c r="I345" i="10"/>
  <c r="L344" i="10"/>
  <c r="K344" i="10"/>
  <c r="M344" i="10" s="1"/>
  <c r="I344" i="10"/>
  <c r="J344" i="10" s="1"/>
  <c r="L343" i="10"/>
  <c r="M343" i="10" s="1"/>
  <c r="K343" i="10"/>
  <c r="J343" i="10"/>
  <c r="I343" i="10"/>
  <c r="L342" i="10"/>
  <c r="K342" i="10"/>
  <c r="M342" i="10" s="1"/>
  <c r="I342" i="10"/>
  <c r="J342" i="10" s="1"/>
  <c r="L340" i="10"/>
  <c r="K340" i="10"/>
  <c r="J340" i="10"/>
  <c r="I340" i="10"/>
  <c r="K337" i="10"/>
  <c r="M336" i="10"/>
  <c r="L336" i="10"/>
  <c r="K336" i="10"/>
  <c r="I336" i="10"/>
  <c r="J336" i="10" s="1"/>
  <c r="L335" i="10"/>
  <c r="K335" i="10"/>
  <c r="J335" i="10"/>
  <c r="I335" i="10"/>
  <c r="M333" i="10"/>
  <c r="L333" i="10"/>
  <c r="K333" i="10"/>
  <c r="I333" i="10"/>
  <c r="J333" i="10" s="1"/>
  <c r="L332" i="10"/>
  <c r="K332" i="10"/>
  <c r="J332" i="10"/>
  <c r="I332" i="10"/>
  <c r="M330" i="10"/>
  <c r="L330" i="10"/>
  <c r="K330" i="10"/>
  <c r="I330" i="10"/>
  <c r="J330" i="10" s="1"/>
  <c r="L328" i="10"/>
  <c r="K328" i="10"/>
  <c r="J328" i="10"/>
  <c r="I328" i="10"/>
  <c r="M327" i="10"/>
  <c r="L327" i="10"/>
  <c r="K327" i="10"/>
  <c r="I327" i="10"/>
  <c r="J327" i="10" s="1"/>
  <c r="L325" i="10"/>
  <c r="K325" i="10"/>
  <c r="J325" i="10"/>
  <c r="I325" i="10"/>
  <c r="M323" i="10"/>
  <c r="L323" i="10"/>
  <c r="K323" i="10"/>
  <c r="I323" i="10"/>
  <c r="J323" i="10" s="1"/>
  <c r="F323" i="10"/>
  <c r="F337" i="10" s="1"/>
  <c r="L321" i="10"/>
  <c r="K321" i="10"/>
  <c r="M321" i="10" s="1"/>
  <c r="I321" i="10"/>
  <c r="J321" i="10" s="1"/>
  <c r="L320" i="10"/>
  <c r="K320" i="10"/>
  <c r="M320" i="10" s="1"/>
  <c r="J320" i="10"/>
  <c r="I320" i="10"/>
  <c r="L319" i="10"/>
  <c r="K319" i="10"/>
  <c r="M319" i="10" s="1"/>
  <c r="I319" i="10"/>
  <c r="J319" i="10" s="1"/>
  <c r="L318" i="10"/>
  <c r="K318" i="10"/>
  <c r="M318" i="10" s="1"/>
  <c r="J318" i="10"/>
  <c r="I318" i="10"/>
  <c r="L317" i="10"/>
  <c r="K317" i="10"/>
  <c r="M317" i="10" s="1"/>
  <c r="I317" i="10"/>
  <c r="J317" i="10" s="1"/>
  <c r="L315" i="10"/>
  <c r="K315" i="10"/>
  <c r="M315" i="10" s="1"/>
  <c r="J315" i="10"/>
  <c r="I315" i="10"/>
  <c r="F312" i="10"/>
  <c r="M311" i="10"/>
  <c r="L311" i="10"/>
  <c r="K311" i="10"/>
  <c r="I311" i="10"/>
  <c r="J311" i="10" s="1"/>
  <c r="L310" i="10"/>
  <c r="K310" i="10"/>
  <c r="J310" i="10"/>
  <c r="I310" i="10"/>
  <c r="M308" i="10"/>
  <c r="L308" i="10"/>
  <c r="K308" i="10"/>
  <c r="I308" i="10"/>
  <c r="J308" i="10" s="1"/>
  <c r="L306" i="10"/>
  <c r="M306" i="10" s="1"/>
  <c r="K306" i="10"/>
  <c r="J306" i="10"/>
  <c r="I306" i="10"/>
  <c r="M304" i="10"/>
  <c r="L304" i="10"/>
  <c r="K304" i="10"/>
  <c r="I304" i="10"/>
  <c r="J304" i="10" s="1"/>
  <c r="L303" i="10"/>
  <c r="K303" i="10"/>
  <c r="J303" i="10"/>
  <c r="I303" i="10"/>
  <c r="M302" i="10"/>
  <c r="L302" i="10"/>
  <c r="K302" i="10"/>
  <c r="I302" i="10"/>
  <c r="J302" i="10" s="1"/>
  <c r="L301" i="10"/>
  <c r="M301" i="10" s="1"/>
  <c r="K301" i="10"/>
  <c r="J301" i="10"/>
  <c r="I301" i="10"/>
  <c r="M299" i="10"/>
  <c r="L299" i="10"/>
  <c r="K299" i="10"/>
  <c r="I299" i="10"/>
  <c r="J299" i="10" s="1"/>
  <c r="L298" i="10"/>
  <c r="K298" i="10"/>
  <c r="J298" i="10"/>
  <c r="I298" i="10"/>
  <c r="M296" i="10"/>
  <c r="L296" i="10"/>
  <c r="K296" i="10"/>
  <c r="I296" i="10"/>
  <c r="J296" i="10" s="1"/>
  <c r="L295" i="10"/>
  <c r="K295" i="10"/>
  <c r="J295" i="10"/>
  <c r="I295" i="10"/>
  <c r="M293" i="10"/>
  <c r="L293" i="10"/>
  <c r="K293" i="10"/>
  <c r="I293" i="10"/>
  <c r="J293" i="10" s="1"/>
  <c r="L292" i="10"/>
  <c r="K292" i="10"/>
  <c r="J292" i="10"/>
  <c r="I292" i="10"/>
  <c r="M290" i="10"/>
  <c r="L290" i="10"/>
  <c r="K290" i="10"/>
  <c r="I290" i="10"/>
  <c r="J290" i="10" s="1"/>
  <c r="L289" i="10"/>
  <c r="K289" i="10"/>
  <c r="J289" i="10"/>
  <c r="I289" i="10"/>
  <c r="M288" i="10"/>
  <c r="L288" i="10"/>
  <c r="K288" i="10"/>
  <c r="I288" i="10"/>
  <c r="J288" i="10" s="1"/>
  <c r="L287" i="10"/>
  <c r="K287" i="10"/>
  <c r="J287" i="10"/>
  <c r="I287" i="10"/>
  <c r="M286" i="10"/>
  <c r="L286" i="10"/>
  <c r="K286" i="10"/>
  <c r="I286" i="10"/>
  <c r="J286" i="10" s="1"/>
  <c r="L284" i="10"/>
  <c r="K284" i="10"/>
  <c r="J284" i="10"/>
  <c r="I284" i="10"/>
  <c r="M283" i="10"/>
  <c r="L283" i="10"/>
  <c r="K283" i="10"/>
  <c r="I283" i="10"/>
  <c r="J283" i="10" s="1"/>
  <c r="L282" i="10"/>
  <c r="K282" i="10"/>
  <c r="J282" i="10"/>
  <c r="I282" i="10"/>
  <c r="M281" i="10"/>
  <c r="L281" i="10"/>
  <c r="K281" i="10"/>
  <c r="I281" i="10"/>
  <c r="J281" i="10" s="1"/>
  <c r="L280" i="10"/>
  <c r="K280" i="10"/>
  <c r="J280" i="10"/>
  <c r="I280" i="10"/>
  <c r="M277" i="10"/>
  <c r="L277" i="10"/>
  <c r="K277" i="10"/>
  <c r="K312" i="10" s="1"/>
  <c r="I277" i="10"/>
  <c r="J277" i="10" s="1"/>
  <c r="L276" i="10"/>
  <c r="L312" i="10" s="1"/>
  <c r="K276" i="10"/>
  <c r="J276" i="10"/>
  <c r="I276" i="10"/>
  <c r="F273" i="10"/>
  <c r="M272" i="10"/>
  <c r="L272" i="10"/>
  <c r="K272" i="10"/>
  <c r="I272" i="10"/>
  <c r="J272" i="10" s="1"/>
  <c r="L270" i="10"/>
  <c r="K270" i="10"/>
  <c r="M270" i="10" s="1"/>
  <c r="J270" i="10"/>
  <c r="I270" i="10"/>
  <c r="M269" i="10"/>
  <c r="L269" i="10"/>
  <c r="K269" i="10"/>
  <c r="I269" i="10"/>
  <c r="J269" i="10" s="1"/>
  <c r="L268" i="10"/>
  <c r="M268" i="10" s="1"/>
  <c r="K268" i="10"/>
  <c r="J268" i="10"/>
  <c r="I268" i="10"/>
  <c r="M267" i="10"/>
  <c r="L267" i="10"/>
  <c r="K267" i="10"/>
  <c r="I267" i="10"/>
  <c r="J267" i="10" s="1"/>
  <c r="L266" i="10"/>
  <c r="K266" i="10"/>
  <c r="M266" i="10" s="1"/>
  <c r="J266" i="10"/>
  <c r="I266" i="10"/>
  <c r="M265" i="10"/>
  <c r="L265" i="10"/>
  <c r="K265" i="10"/>
  <c r="I265" i="10"/>
  <c r="J265" i="10" s="1"/>
  <c r="L264" i="10"/>
  <c r="M264" i="10" s="1"/>
  <c r="K264" i="10"/>
  <c r="J264" i="10"/>
  <c r="I264" i="10"/>
  <c r="M263" i="10"/>
  <c r="L263" i="10"/>
  <c r="K263" i="10"/>
  <c r="I263" i="10"/>
  <c r="J263" i="10" s="1"/>
  <c r="L262" i="10"/>
  <c r="K262" i="10"/>
  <c r="M262" i="10" s="1"/>
  <c r="J262" i="10"/>
  <c r="I262" i="10"/>
  <c r="M261" i="10"/>
  <c r="L261" i="10"/>
  <c r="K261" i="10"/>
  <c r="I261" i="10"/>
  <c r="J261" i="10" s="1"/>
  <c r="L260" i="10"/>
  <c r="M260" i="10" s="1"/>
  <c r="K260" i="10"/>
  <c r="J260" i="10"/>
  <c r="I260" i="10"/>
  <c r="M259" i="10"/>
  <c r="L259" i="10"/>
  <c r="K259" i="10"/>
  <c r="I259" i="10"/>
  <c r="J259" i="10" s="1"/>
  <c r="L258" i="10"/>
  <c r="K258" i="10"/>
  <c r="M258" i="10" s="1"/>
  <c r="J258" i="10"/>
  <c r="I258" i="10"/>
  <c r="M257" i="10"/>
  <c r="L257" i="10"/>
  <c r="K257" i="10"/>
  <c r="I257" i="10"/>
  <c r="J257" i="10" s="1"/>
  <c r="L256" i="10"/>
  <c r="M256" i="10" s="1"/>
  <c r="K256" i="10"/>
  <c r="J256" i="10"/>
  <c r="I256" i="10"/>
  <c r="M255" i="10"/>
  <c r="L255" i="10"/>
  <c r="K255" i="10"/>
  <c r="I255" i="10"/>
  <c r="J255" i="10" s="1"/>
  <c r="L254" i="10"/>
  <c r="K254" i="10"/>
  <c r="M254" i="10" s="1"/>
  <c r="J254" i="10"/>
  <c r="I254" i="10"/>
  <c r="M253" i="10"/>
  <c r="L253" i="10"/>
  <c r="K253" i="10"/>
  <c r="I253" i="10"/>
  <c r="J253" i="10" s="1"/>
  <c r="L251" i="10"/>
  <c r="M251" i="10" s="1"/>
  <c r="K251" i="10"/>
  <c r="J251" i="10"/>
  <c r="I251" i="10"/>
  <c r="M250" i="10"/>
  <c r="L250" i="10"/>
  <c r="K250" i="10"/>
  <c r="I250" i="10"/>
  <c r="J250" i="10" s="1"/>
  <c r="L249" i="10"/>
  <c r="K249" i="10"/>
  <c r="M249" i="10" s="1"/>
  <c r="J249" i="10"/>
  <c r="I249" i="10"/>
  <c r="M248" i="10"/>
  <c r="L248" i="10"/>
  <c r="K248" i="10"/>
  <c r="I248" i="10"/>
  <c r="J248" i="10" s="1"/>
  <c r="L247" i="10"/>
  <c r="M247" i="10" s="1"/>
  <c r="K247" i="10"/>
  <c r="J247" i="10"/>
  <c r="I247" i="10"/>
  <c r="M245" i="10"/>
  <c r="L245" i="10"/>
  <c r="K245" i="10"/>
  <c r="I245" i="10"/>
  <c r="J245" i="10" s="1"/>
  <c r="L244" i="10"/>
  <c r="K244" i="10"/>
  <c r="M244" i="10" s="1"/>
  <c r="J244" i="10"/>
  <c r="I244" i="10"/>
  <c r="M243" i="10"/>
  <c r="L243" i="10"/>
  <c r="K243" i="10"/>
  <c r="I243" i="10"/>
  <c r="J243" i="10" s="1"/>
  <c r="L241" i="10"/>
  <c r="M241" i="10" s="1"/>
  <c r="K241" i="10"/>
  <c r="J241" i="10"/>
  <c r="I241" i="10"/>
  <c r="M240" i="10"/>
  <c r="L240" i="10"/>
  <c r="K240" i="10"/>
  <c r="I240" i="10"/>
  <c r="J240" i="10" s="1"/>
  <c r="L238" i="10"/>
  <c r="K238" i="10"/>
  <c r="M238" i="10" s="1"/>
  <c r="J238" i="10"/>
  <c r="I238" i="10"/>
  <c r="M236" i="10"/>
  <c r="L236" i="10"/>
  <c r="K236" i="10"/>
  <c r="I236" i="10"/>
  <c r="J236" i="10" s="1"/>
  <c r="L234" i="10"/>
  <c r="M234" i="10" s="1"/>
  <c r="K234" i="10"/>
  <c r="J234" i="10"/>
  <c r="I234" i="10"/>
  <c r="M233" i="10"/>
  <c r="L233" i="10"/>
  <c r="K233" i="10"/>
  <c r="I233" i="10"/>
  <c r="J233" i="10" s="1"/>
  <c r="L232" i="10"/>
  <c r="K232" i="10"/>
  <c r="M232" i="10" s="1"/>
  <c r="J232" i="10"/>
  <c r="I232" i="10"/>
  <c r="M231" i="10"/>
  <c r="L231" i="10"/>
  <c r="K231" i="10"/>
  <c r="I231" i="10"/>
  <c r="J231" i="10" s="1"/>
  <c r="L230" i="10"/>
  <c r="M230" i="10" s="1"/>
  <c r="K230" i="10"/>
  <c r="J230" i="10"/>
  <c r="I230" i="10"/>
  <c r="M228" i="10"/>
  <c r="L228" i="10"/>
  <c r="L273" i="10" s="1"/>
  <c r="K228" i="10"/>
  <c r="K273" i="10" s="1"/>
  <c r="M273" i="10" s="1"/>
  <c r="I228" i="10"/>
  <c r="J228" i="10" s="1"/>
  <c r="L225" i="10"/>
  <c r="F225" i="10"/>
  <c r="F361" i="10" s="1"/>
  <c r="F380" i="10" s="1"/>
  <c r="L224" i="10"/>
  <c r="K224" i="10"/>
  <c r="M224" i="10" s="1"/>
  <c r="J224" i="10"/>
  <c r="I224" i="10"/>
  <c r="L222" i="10"/>
  <c r="K222" i="10"/>
  <c r="M222" i="10" s="1"/>
  <c r="I222" i="10"/>
  <c r="J222" i="10" s="1"/>
  <c r="L220" i="10"/>
  <c r="M220" i="10" s="1"/>
  <c r="K220" i="10"/>
  <c r="J220" i="10"/>
  <c r="I220" i="10"/>
  <c r="L219" i="10"/>
  <c r="K219" i="10"/>
  <c r="M219" i="10" s="1"/>
  <c r="I219" i="10"/>
  <c r="J219" i="10" s="1"/>
  <c r="L218" i="10"/>
  <c r="K218" i="10"/>
  <c r="J218" i="10"/>
  <c r="I218" i="10"/>
  <c r="L217" i="10"/>
  <c r="K217" i="10"/>
  <c r="M217" i="10" s="1"/>
  <c r="I217" i="10"/>
  <c r="J217" i="10" s="1"/>
  <c r="L216" i="10"/>
  <c r="M216" i="10" s="1"/>
  <c r="K216" i="10"/>
  <c r="J216" i="10"/>
  <c r="I216" i="10"/>
  <c r="L215" i="10"/>
  <c r="K215" i="10"/>
  <c r="M215" i="10" s="1"/>
  <c r="I215" i="10"/>
  <c r="J215" i="10" s="1"/>
  <c r="L213" i="10"/>
  <c r="K213" i="10"/>
  <c r="J213" i="10"/>
  <c r="I213" i="10"/>
  <c r="L212" i="10"/>
  <c r="K212" i="10"/>
  <c r="M212" i="10" s="1"/>
  <c r="I212" i="10"/>
  <c r="J212" i="10" s="1"/>
  <c r="L211" i="10"/>
  <c r="M211" i="10" s="1"/>
  <c r="K211" i="10"/>
  <c r="J211" i="10"/>
  <c r="I211" i="10"/>
  <c r="L210" i="10"/>
  <c r="K210" i="10"/>
  <c r="M210" i="10" s="1"/>
  <c r="I210" i="10"/>
  <c r="J210" i="10" s="1"/>
  <c r="L208" i="10"/>
  <c r="K208" i="10"/>
  <c r="J208" i="10"/>
  <c r="I208" i="10"/>
  <c r="L207" i="10"/>
  <c r="K207" i="10"/>
  <c r="M207" i="10" s="1"/>
  <c r="I207" i="10"/>
  <c r="J207" i="10" s="1"/>
  <c r="L205" i="10"/>
  <c r="M205" i="10" s="1"/>
  <c r="K205" i="10"/>
  <c r="J205" i="10"/>
  <c r="I205" i="10"/>
  <c r="L203" i="10"/>
  <c r="K203" i="10"/>
  <c r="M203" i="10" s="1"/>
  <c r="I203" i="10"/>
  <c r="J203" i="10" s="1"/>
  <c r="L201" i="10"/>
  <c r="K201" i="10"/>
  <c r="J201" i="10"/>
  <c r="I201" i="10"/>
  <c r="L200" i="10"/>
  <c r="K200" i="10"/>
  <c r="M200" i="10" s="1"/>
  <c r="I200" i="10"/>
  <c r="J200" i="10" s="1"/>
  <c r="L199" i="10"/>
  <c r="M199" i="10" s="1"/>
  <c r="K199" i="10"/>
  <c r="J199" i="10"/>
  <c r="I199" i="10"/>
  <c r="L198" i="10"/>
  <c r="K198" i="10"/>
  <c r="M198" i="10" s="1"/>
  <c r="I198" i="10"/>
  <c r="J198" i="10" s="1"/>
  <c r="L197" i="10"/>
  <c r="K197" i="10"/>
  <c r="J197" i="10"/>
  <c r="I197" i="10"/>
  <c r="L195" i="10"/>
  <c r="K195" i="10"/>
  <c r="I195" i="10"/>
  <c r="J195" i="10" s="1"/>
  <c r="F192" i="10"/>
  <c r="L191" i="10"/>
  <c r="M191" i="10" s="1"/>
  <c r="K191" i="10"/>
  <c r="J191" i="10"/>
  <c r="I191" i="10"/>
  <c r="M190" i="10"/>
  <c r="L190" i="10"/>
  <c r="K190" i="10"/>
  <c r="I190" i="10"/>
  <c r="J190" i="10" s="1"/>
  <c r="L188" i="10"/>
  <c r="K188" i="10"/>
  <c r="M188" i="10" s="1"/>
  <c r="J188" i="10"/>
  <c r="I188" i="10"/>
  <c r="M186" i="10"/>
  <c r="L186" i="10"/>
  <c r="K186" i="10"/>
  <c r="I186" i="10"/>
  <c r="J186" i="10" s="1"/>
  <c r="L185" i="10"/>
  <c r="M185" i="10" s="1"/>
  <c r="K185" i="10"/>
  <c r="J185" i="10"/>
  <c r="I185" i="10"/>
  <c r="M183" i="10"/>
  <c r="L183" i="10"/>
  <c r="K183" i="10"/>
  <c r="I183" i="10"/>
  <c r="J183" i="10" s="1"/>
  <c r="L181" i="10"/>
  <c r="K181" i="10"/>
  <c r="M181" i="10" s="1"/>
  <c r="J181" i="10"/>
  <c r="I181" i="10"/>
  <c r="M180" i="10"/>
  <c r="L180" i="10"/>
  <c r="K180" i="10"/>
  <c r="I180" i="10"/>
  <c r="J180" i="10" s="1"/>
  <c r="L178" i="10"/>
  <c r="M178" i="10" s="1"/>
  <c r="K178" i="10"/>
  <c r="J178" i="10"/>
  <c r="I178" i="10"/>
  <c r="M176" i="10"/>
  <c r="L176" i="10"/>
  <c r="K176" i="10"/>
  <c r="I176" i="10"/>
  <c r="J176" i="10" s="1"/>
  <c r="L174" i="10"/>
  <c r="K174" i="10"/>
  <c r="M174" i="10" s="1"/>
  <c r="J174" i="10"/>
  <c r="I174" i="10"/>
  <c r="L173" i="10"/>
  <c r="M173" i="10" s="1"/>
  <c r="K173" i="10"/>
  <c r="I173" i="10"/>
  <c r="J173" i="10" s="1"/>
  <c r="L172" i="10"/>
  <c r="M172" i="10" s="1"/>
  <c r="K172" i="10"/>
  <c r="I172" i="10"/>
  <c r="J172" i="10" s="1"/>
  <c r="M171" i="10"/>
  <c r="L171" i="10"/>
  <c r="K171" i="10"/>
  <c r="I171" i="10"/>
  <c r="J171" i="10" s="1"/>
  <c r="L170" i="10"/>
  <c r="K170" i="10"/>
  <c r="J170" i="10"/>
  <c r="I170" i="10"/>
  <c r="L168" i="10"/>
  <c r="L192" i="10" s="1"/>
  <c r="K168" i="10"/>
  <c r="I168" i="10"/>
  <c r="J168" i="10" s="1"/>
  <c r="F165" i="10"/>
  <c r="L164" i="10"/>
  <c r="K164" i="10"/>
  <c r="M164" i="10" s="1"/>
  <c r="J164" i="10"/>
  <c r="I164" i="10"/>
  <c r="L163" i="10"/>
  <c r="K163" i="10"/>
  <c r="J163" i="10"/>
  <c r="I163" i="10"/>
  <c r="M162" i="10"/>
  <c r="L162" i="10"/>
  <c r="K162" i="10"/>
  <c r="I162" i="10"/>
  <c r="J162" i="10" s="1"/>
  <c r="M161" i="10"/>
  <c r="L161" i="10"/>
  <c r="K161" i="10"/>
  <c r="I161" i="10"/>
  <c r="J161" i="10" s="1"/>
  <c r="L160" i="10"/>
  <c r="K160" i="10"/>
  <c r="M160" i="10" s="1"/>
  <c r="J160" i="10"/>
  <c r="I160" i="10"/>
  <c r="L159" i="10"/>
  <c r="K159" i="10"/>
  <c r="M159" i="10" s="1"/>
  <c r="J159" i="10"/>
  <c r="I159" i="10"/>
  <c r="L158" i="10"/>
  <c r="M158" i="10" s="1"/>
  <c r="K158" i="10"/>
  <c r="I158" i="10"/>
  <c r="J158" i="10" s="1"/>
  <c r="M157" i="10"/>
  <c r="L157" i="10"/>
  <c r="K157" i="10"/>
  <c r="J157" i="10"/>
  <c r="I157" i="10"/>
  <c r="L156" i="10"/>
  <c r="K156" i="10"/>
  <c r="M156" i="10" s="1"/>
  <c r="J156" i="10"/>
  <c r="I156" i="10"/>
  <c r="L155" i="10"/>
  <c r="K155" i="10"/>
  <c r="M155" i="10" s="1"/>
  <c r="J155" i="10"/>
  <c r="I155" i="10"/>
  <c r="L154" i="10"/>
  <c r="M154" i="10" s="1"/>
  <c r="K154" i="10"/>
  <c r="I154" i="10"/>
  <c r="J154" i="10" s="1"/>
  <c r="M153" i="10"/>
  <c r="L153" i="10"/>
  <c r="K153" i="10"/>
  <c r="I153" i="10"/>
  <c r="J153" i="10" s="1"/>
  <c r="L152" i="10"/>
  <c r="K152" i="10"/>
  <c r="M152" i="10" s="1"/>
  <c r="J152" i="10"/>
  <c r="I152" i="10"/>
  <c r="L151" i="10"/>
  <c r="K151" i="10"/>
  <c r="M151" i="10" s="1"/>
  <c r="J151" i="10"/>
  <c r="I151" i="10"/>
  <c r="L150" i="10"/>
  <c r="M150" i="10" s="1"/>
  <c r="K150" i="10"/>
  <c r="I150" i="10"/>
  <c r="J150" i="10" s="1"/>
  <c r="M148" i="10"/>
  <c r="L148" i="10"/>
  <c r="K148" i="10"/>
  <c r="I148" i="10"/>
  <c r="J148" i="10" s="1"/>
  <c r="L147" i="10"/>
  <c r="K147" i="10"/>
  <c r="M147" i="10" s="1"/>
  <c r="J147" i="10"/>
  <c r="I147" i="10"/>
  <c r="L146" i="10"/>
  <c r="K146" i="10"/>
  <c r="J146" i="10"/>
  <c r="I146" i="10"/>
  <c r="M145" i="10"/>
  <c r="L145" i="10"/>
  <c r="K145" i="10"/>
  <c r="I145" i="10"/>
  <c r="J145" i="10" s="1"/>
  <c r="M144" i="10"/>
  <c r="L144" i="10"/>
  <c r="K144" i="10"/>
  <c r="I144" i="10"/>
  <c r="J144" i="10" s="1"/>
  <c r="L143" i="10"/>
  <c r="K143" i="10"/>
  <c r="M143" i="10" s="1"/>
  <c r="J143" i="10"/>
  <c r="I143" i="10"/>
  <c r="L142" i="10"/>
  <c r="K142" i="10"/>
  <c r="M142" i="10" s="1"/>
  <c r="J142" i="10"/>
  <c r="I142" i="10"/>
  <c r="L141" i="10"/>
  <c r="M141" i="10" s="1"/>
  <c r="K141" i="10"/>
  <c r="I141" i="10"/>
  <c r="J141" i="10" s="1"/>
  <c r="M140" i="10"/>
  <c r="L140" i="10"/>
  <c r="K140" i="10"/>
  <c r="J140" i="10"/>
  <c r="I140" i="10"/>
  <c r="L139" i="10"/>
  <c r="K139" i="10"/>
  <c r="M139" i="10" s="1"/>
  <c r="J139" i="10"/>
  <c r="I139" i="10"/>
  <c r="L138" i="10"/>
  <c r="K138" i="10"/>
  <c r="M138" i="10" s="1"/>
  <c r="J138" i="10"/>
  <c r="I138" i="10"/>
  <c r="L137" i="10"/>
  <c r="M137" i="10" s="1"/>
  <c r="K137" i="10"/>
  <c r="I137" i="10"/>
  <c r="J137" i="10" s="1"/>
  <c r="M136" i="10"/>
  <c r="L136" i="10"/>
  <c r="K136" i="10"/>
  <c r="I136" i="10"/>
  <c r="J136" i="10" s="1"/>
  <c r="L135" i="10"/>
  <c r="K135" i="10"/>
  <c r="M135" i="10" s="1"/>
  <c r="J135" i="10"/>
  <c r="I135" i="10"/>
  <c r="L134" i="10"/>
  <c r="K134" i="10"/>
  <c r="M134" i="10" s="1"/>
  <c r="J134" i="10"/>
  <c r="I134" i="10"/>
  <c r="L132" i="10"/>
  <c r="M132" i="10" s="1"/>
  <c r="K132" i="10"/>
  <c r="I132" i="10"/>
  <c r="J132" i="10" s="1"/>
  <c r="M131" i="10"/>
  <c r="L131" i="10"/>
  <c r="K131" i="10"/>
  <c r="I131" i="10"/>
  <c r="J131" i="10" s="1"/>
  <c r="L130" i="10"/>
  <c r="K130" i="10"/>
  <c r="M130" i="10" s="1"/>
  <c r="J130" i="10"/>
  <c r="I130" i="10"/>
  <c r="L129" i="10"/>
  <c r="K129" i="10"/>
  <c r="J129" i="10"/>
  <c r="I129" i="10"/>
  <c r="M128" i="10"/>
  <c r="L128" i="10"/>
  <c r="K128" i="10"/>
  <c r="I128" i="10"/>
  <c r="J128" i="10" s="1"/>
  <c r="M127" i="10"/>
  <c r="L127" i="10"/>
  <c r="K127" i="10"/>
  <c r="I127" i="10"/>
  <c r="J127" i="10" s="1"/>
  <c r="L126" i="10"/>
  <c r="K126" i="10"/>
  <c r="M126" i="10" s="1"/>
  <c r="J126" i="10"/>
  <c r="I126" i="10"/>
  <c r="L125" i="10"/>
  <c r="K125" i="10"/>
  <c r="M125" i="10" s="1"/>
  <c r="J125" i="10"/>
  <c r="I125" i="10"/>
  <c r="L124" i="10"/>
  <c r="M124" i="10" s="1"/>
  <c r="K124" i="10"/>
  <c r="I124" i="10"/>
  <c r="J124" i="10" s="1"/>
  <c r="M123" i="10"/>
  <c r="L123" i="10"/>
  <c r="K123" i="10"/>
  <c r="J123" i="10"/>
  <c r="I123" i="10"/>
  <c r="L122" i="10"/>
  <c r="K122" i="10"/>
  <c r="M122" i="10" s="1"/>
  <c r="J122" i="10"/>
  <c r="I122" i="10"/>
  <c r="L121" i="10"/>
  <c r="K121" i="10"/>
  <c r="M121" i="10" s="1"/>
  <c r="J121" i="10"/>
  <c r="I121" i="10"/>
  <c r="L120" i="10"/>
  <c r="M120" i="10" s="1"/>
  <c r="K120" i="10"/>
  <c r="I120" i="10"/>
  <c r="J120" i="10" s="1"/>
  <c r="M119" i="10"/>
  <c r="L119" i="10"/>
  <c r="K119" i="10"/>
  <c r="I119" i="10"/>
  <c r="J119" i="10" s="1"/>
  <c r="L118" i="10"/>
  <c r="K118" i="10"/>
  <c r="M118" i="10" s="1"/>
  <c r="J118" i="10"/>
  <c r="I118" i="10"/>
  <c r="L117" i="10"/>
  <c r="K117" i="10"/>
  <c r="M117" i="10" s="1"/>
  <c r="J117" i="10"/>
  <c r="I117" i="10"/>
  <c r="L116" i="10"/>
  <c r="M116" i="10" s="1"/>
  <c r="K116" i="10"/>
  <c r="I116" i="10"/>
  <c r="J116" i="10" s="1"/>
  <c r="M115" i="10"/>
  <c r="L115" i="10"/>
  <c r="K115" i="10"/>
  <c r="I115" i="10"/>
  <c r="J115" i="10" s="1"/>
  <c r="L114" i="10"/>
  <c r="K114" i="10"/>
  <c r="M114" i="10" s="1"/>
  <c r="J114" i="10"/>
  <c r="I114" i="10"/>
  <c r="L113" i="10"/>
  <c r="K113" i="10"/>
  <c r="J113" i="10"/>
  <c r="I113" i="10"/>
  <c r="M112" i="10"/>
  <c r="L112" i="10"/>
  <c r="K112" i="10"/>
  <c r="I112" i="10"/>
  <c r="J112" i="10" s="1"/>
  <c r="M111" i="10"/>
  <c r="L111" i="10"/>
  <c r="K111" i="10"/>
  <c r="I111" i="10"/>
  <c r="J111" i="10" s="1"/>
  <c r="L110" i="10"/>
  <c r="K110" i="10"/>
  <c r="M110" i="10" s="1"/>
  <c r="J110" i="10"/>
  <c r="I110" i="10"/>
  <c r="L109" i="10"/>
  <c r="K109" i="10"/>
  <c r="M109" i="10" s="1"/>
  <c r="J109" i="10"/>
  <c r="I109" i="10"/>
  <c r="L108" i="10"/>
  <c r="M108" i="10" s="1"/>
  <c r="K108" i="10"/>
  <c r="I108" i="10"/>
  <c r="J108" i="10" s="1"/>
  <c r="M107" i="10"/>
  <c r="L107" i="10"/>
  <c r="K107" i="10"/>
  <c r="J107" i="10"/>
  <c r="I107" i="10"/>
  <c r="L106" i="10"/>
  <c r="K106" i="10"/>
  <c r="M106" i="10" s="1"/>
  <c r="J106" i="10"/>
  <c r="I106" i="10"/>
  <c r="L105" i="10"/>
  <c r="K105" i="10"/>
  <c r="M105" i="10" s="1"/>
  <c r="J105" i="10"/>
  <c r="I105" i="10"/>
  <c r="L104" i="10"/>
  <c r="M104" i="10" s="1"/>
  <c r="K104" i="10"/>
  <c r="I104" i="10"/>
  <c r="J104" i="10" s="1"/>
  <c r="M103" i="10"/>
  <c r="L103" i="10"/>
  <c r="K103" i="10"/>
  <c r="I103" i="10"/>
  <c r="J103" i="10" s="1"/>
  <c r="F100" i="10"/>
  <c r="L99" i="10"/>
  <c r="K99" i="10"/>
  <c r="M99" i="10" s="1"/>
  <c r="J99" i="10"/>
  <c r="I99" i="10"/>
  <c r="L98" i="10"/>
  <c r="K98" i="10"/>
  <c r="M98" i="10" s="1"/>
  <c r="J98" i="10"/>
  <c r="I98" i="10"/>
  <c r="L97" i="10"/>
  <c r="M97" i="10" s="1"/>
  <c r="K97" i="10"/>
  <c r="I97" i="10"/>
  <c r="J97" i="10" s="1"/>
  <c r="M96" i="10"/>
  <c r="L96" i="10"/>
  <c r="K96" i="10"/>
  <c r="J96" i="10"/>
  <c r="I96" i="10"/>
  <c r="L95" i="10"/>
  <c r="K95" i="10"/>
  <c r="M95" i="10" s="1"/>
  <c r="J95" i="10"/>
  <c r="I95" i="10"/>
  <c r="L94" i="10"/>
  <c r="K94" i="10"/>
  <c r="M94" i="10" s="1"/>
  <c r="J94" i="10"/>
  <c r="I94" i="10"/>
  <c r="L93" i="10"/>
  <c r="M93" i="10" s="1"/>
  <c r="K93" i="10"/>
  <c r="I93" i="10"/>
  <c r="J93" i="10" s="1"/>
  <c r="M92" i="10"/>
  <c r="L92" i="10"/>
  <c r="K92" i="10"/>
  <c r="I92" i="10"/>
  <c r="J92" i="10" s="1"/>
  <c r="L90" i="10"/>
  <c r="K90" i="10"/>
  <c r="M90" i="10" s="1"/>
  <c r="J90" i="10"/>
  <c r="I90" i="10"/>
  <c r="L88" i="10"/>
  <c r="K88" i="10"/>
  <c r="M88" i="10" s="1"/>
  <c r="J88" i="10"/>
  <c r="I88" i="10"/>
  <c r="L87" i="10"/>
  <c r="M87" i="10" s="1"/>
  <c r="K87" i="10"/>
  <c r="I87" i="10"/>
  <c r="J87" i="10" s="1"/>
  <c r="M86" i="10"/>
  <c r="L86" i="10"/>
  <c r="K86" i="10"/>
  <c r="I86" i="10"/>
  <c r="J86" i="10" s="1"/>
  <c r="L85" i="10"/>
  <c r="K85" i="10"/>
  <c r="M85" i="10" s="1"/>
  <c r="J85" i="10"/>
  <c r="I85" i="10"/>
  <c r="L84" i="10"/>
  <c r="K84" i="10"/>
  <c r="J84" i="10"/>
  <c r="I84" i="10"/>
  <c r="M83" i="10"/>
  <c r="L83" i="10"/>
  <c r="K83" i="10"/>
  <c r="I83" i="10"/>
  <c r="J83" i="10" s="1"/>
  <c r="M82" i="10"/>
  <c r="L82" i="10"/>
  <c r="K82" i="10"/>
  <c r="I82" i="10"/>
  <c r="J82" i="10" s="1"/>
  <c r="L81" i="10"/>
  <c r="K81" i="10"/>
  <c r="M81" i="10" s="1"/>
  <c r="J81" i="10"/>
  <c r="I81" i="10"/>
  <c r="L80" i="10"/>
  <c r="K80" i="10"/>
  <c r="M80" i="10" s="1"/>
  <c r="J80" i="10"/>
  <c r="I80" i="10"/>
  <c r="L79" i="10"/>
  <c r="M79" i="10" s="1"/>
  <c r="K79" i="10"/>
  <c r="I79" i="10"/>
  <c r="J79" i="10" s="1"/>
  <c r="M78" i="10"/>
  <c r="L78" i="10"/>
  <c r="K78" i="10"/>
  <c r="J78" i="10"/>
  <c r="I78" i="10"/>
  <c r="L77" i="10"/>
  <c r="K77" i="10"/>
  <c r="M77" i="10" s="1"/>
  <c r="J77" i="10"/>
  <c r="I77" i="10"/>
  <c r="L76" i="10"/>
  <c r="K76" i="10"/>
  <c r="M76" i="10" s="1"/>
  <c r="J76" i="10"/>
  <c r="I76" i="10"/>
  <c r="L75" i="10"/>
  <c r="M75" i="10" s="1"/>
  <c r="K75" i="10"/>
  <c r="I75" i="10"/>
  <c r="J75" i="10" s="1"/>
  <c r="M74" i="10"/>
  <c r="L74" i="10"/>
  <c r="K74" i="10"/>
  <c r="I74" i="10"/>
  <c r="J74" i="10" s="1"/>
  <c r="L73" i="10"/>
  <c r="K73" i="10"/>
  <c r="M73" i="10" s="1"/>
  <c r="J73" i="10"/>
  <c r="I73" i="10"/>
  <c r="L71" i="10"/>
  <c r="K71" i="10"/>
  <c r="M71" i="10" s="1"/>
  <c r="J71" i="10"/>
  <c r="I71" i="10"/>
  <c r="L70" i="10"/>
  <c r="M70" i="10" s="1"/>
  <c r="K70" i="10"/>
  <c r="I70" i="10"/>
  <c r="J70" i="10" s="1"/>
  <c r="M69" i="10"/>
  <c r="L69" i="10"/>
  <c r="K69" i="10"/>
  <c r="I69" i="10"/>
  <c r="J69" i="10" s="1"/>
  <c r="L68" i="10"/>
  <c r="K68" i="10"/>
  <c r="M68" i="10" s="1"/>
  <c r="J68" i="10"/>
  <c r="I68" i="10"/>
  <c r="L66" i="10"/>
  <c r="K66" i="10"/>
  <c r="J66" i="10"/>
  <c r="I66" i="10"/>
  <c r="M65" i="10"/>
  <c r="L65" i="10"/>
  <c r="K65" i="10"/>
  <c r="I65" i="10"/>
  <c r="J65" i="10" s="1"/>
  <c r="F62" i="10"/>
  <c r="M61" i="10"/>
  <c r="L61" i="10"/>
  <c r="K61" i="10"/>
  <c r="I61" i="10"/>
  <c r="J61" i="10" s="1"/>
  <c r="L59" i="10"/>
  <c r="K59" i="10"/>
  <c r="M59" i="10" s="1"/>
  <c r="I59" i="10"/>
  <c r="J59" i="10" s="1"/>
  <c r="L58" i="10"/>
  <c r="K58" i="10"/>
  <c r="M58" i="10" s="1"/>
  <c r="J58" i="10"/>
  <c r="I58" i="10"/>
  <c r="L57" i="10"/>
  <c r="M57" i="10" s="1"/>
  <c r="K57" i="10"/>
  <c r="I57" i="10"/>
  <c r="J57" i="10" s="1"/>
  <c r="L56" i="10"/>
  <c r="M56" i="10" s="1"/>
  <c r="K56" i="10"/>
  <c r="I56" i="10"/>
  <c r="J56" i="10" s="1"/>
  <c r="M55" i="10"/>
  <c r="L55" i="10"/>
  <c r="K55" i="10"/>
  <c r="I55" i="10"/>
  <c r="J55" i="10" s="1"/>
  <c r="L54" i="10"/>
  <c r="K54" i="10"/>
  <c r="M54" i="10" s="1"/>
  <c r="J54" i="10"/>
  <c r="I54" i="10"/>
  <c r="L52" i="10"/>
  <c r="K52" i="10"/>
  <c r="M52" i="10" s="1"/>
  <c r="I52" i="10"/>
  <c r="J52" i="10" s="1"/>
  <c r="L50" i="10"/>
  <c r="K50" i="10"/>
  <c r="J50" i="10"/>
  <c r="I50" i="10"/>
  <c r="L46" i="10"/>
  <c r="K46" i="10"/>
  <c r="M46" i="10" s="1"/>
  <c r="J46" i="10"/>
  <c r="I46" i="10"/>
  <c r="L45" i="10"/>
  <c r="K45" i="10"/>
  <c r="M45" i="10" s="1"/>
  <c r="J45" i="10"/>
  <c r="I45" i="10"/>
  <c r="L43" i="10"/>
  <c r="K43" i="10"/>
  <c r="M43" i="10" s="1"/>
  <c r="I43" i="10"/>
  <c r="C43" i="10"/>
  <c r="F43" i="10" s="1"/>
  <c r="F47" i="10" s="1"/>
  <c r="L41" i="10"/>
  <c r="K41" i="10"/>
  <c r="J41" i="10"/>
  <c r="I41" i="10"/>
  <c r="M39" i="10"/>
  <c r="L39" i="10"/>
  <c r="K39" i="10"/>
  <c r="I39" i="10"/>
  <c r="J39" i="10" s="1"/>
  <c r="M38" i="10"/>
  <c r="L38" i="10"/>
  <c r="K38" i="10"/>
  <c r="I38" i="10"/>
  <c r="J38" i="10" s="1"/>
  <c r="L37" i="10"/>
  <c r="K37" i="10"/>
  <c r="M37" i="10" s="1"/>
  <c r="J37" i="10"/>
  <c r="I37" i="10"/>
  <c r="L36" i="10"/>
  <c r="K36" i="10"/>
  <c r="M36" i="10" s="1"/>
  <c r="J36" i="10"/>
  <c r="I36" i="10"/>
  <c r="L35" i="10"/>
  <c r="K35" i="10"/>
  <c r="M35" i="10" s="1"/>
  <c r="I35" i="10"/>
  <c r="J35" i="10" s="1"/>
  <c r="L32" i="10"/>
  <c r="K32" i="10"/>
  <c r="I32" i="10"/>
  <c r="J32" i="10" s="1"/>
  <c r="F29" i="10"/>
  <c r="L28" i="10"/>
  <c r="K28" i="10"/>
  <c r="M28" i="10" s="1"/>
  <c r="I28" i="10"/>
  <c r="J28" i="10" s="1"/>
  <c r="L27" i="10"/>
  <c r="M27" i="10" s="1"/>
  <c r="K27" i="10"/>
  <c r="I27" i="10"/>
  <c r="J27" i="10" s="1"/>
  <c r="M26" i="10"/>
  <c r="L26" i="10"/>
  <c r="K26" i="10"/>
  <c r="I26" i="10"/>
  <c r="J26" i="10" s="1"/>
  <c r="L25" i="10"/>
  <c r="K25" i="10"/>
  <c r="M25" i="10" s="1"/>
  <c r="J25" i="10"/>
  <c r="I25" i="10"/>
  <c r="L24" i="10"/>
  <c r="K24" i="10"/>
  <c r="M24" i="10" s="1"/>
  <c r="I24" i="10"/>
  <c r="J24" i="10" s="1"/>
  <c r="L23" i="10"/>
  <c r="M23" i="10" s="1"/>
  <c r="K23" i="10"/>
  <c r="I23" i="10"/>
  <c r="J23" i="10" s="1"/>
  <c r="M22" i="10"/>
  <c r="L22" i="10"/>
  <c r="K22" i="10"/>
  <c r="I22" i="10"/>
  <c r="J22" i="10" s="1"/>
  <c r="L21" i="10"/>
  <c r="K21" i="10"/>
  <c r="M21" i="10" s="1"/>
  <c r="J21" i="10"/>
  <c r="I21" i="10"/>
  <c r="L20" i="10"/>
  <c r="K20" i="10"/>
  <c r="K29" i="10" s="1"/>
  <c r="I20" i="10"/>
  <c r="J20" i="10" s="1"/>
  <c r="L19" i="10"/>
  <c r="M19" i="10" s="1"/>
  <c r="K19" i="10"/>
  <c r="I19" i="10"/>
  <c r="J19" i="10" s="1"/>
  <c r="M18" i="10"/>
  <c r="L18" i="10"/>
  <c r="K18" i="10"/>
  <c r="I18" i="10"/>
  <c r="J18" i="10" s="1"/>
  <c r="L14" i="10"/>
  <c r="K14" i="10"/>
  <c r="M14" i="10" s="1"/>
  <c r="J14" i="10"/>
  <c r="I14" i="10"/>
  <c r="F14" i="10"/>
  <c r="L13" i="10"/>
  <c r="M13" i="10" s="1"/>
  <c r="K13" i="10"/>
  <c r="I13" i="10"/>
  <c r="J13" i="10" s="1"/>
  <c r="F13" i="10"/>
  <c r="F15" i="10" s="1"/>
  <c r="L12" i="10"/>
  <c r="L15" i="10" s="1"/>
  <c r="K12" i="10"/>
  <c r="M12" i="10" s="1"/>
  <c r="J12" i="10"/>
  <c r="I12" i="10"/>
  <c r="F12" i="10"/>
  <c r="H105" i="13" l="1"/>
  <c r="L105" i="13" s="1"/>
  <c r="L47" i="11"/>
  <c r="M132" i="11"/>
  <c r="M276" i="11"/>
  <c r="K312" i="11"/>
  <c r="M312" i="11" s="1"/>
  <c r="K15" i="11"/>
  <c r="M15" i="11" s="1"/>
  <c r="M32" i="11"/>
  <c r="M47" i="11" s="1"/>
  <c r="K100" i="11"/>
  <c r="M100" i="11" s="1"/>
  <c r="M65" i="11"/>
  <c r="M273" i="11"/>
  <c r="K165" i="11"/>
  <c r="M165" i="11" s="1"/>
  <c r="M104" i="11"/>
  <c r="M108" i="11"/>
  <c r="M112" i="11"/>
  <c r="M116" i="11"/>
  <c r="K192" i="11"/>
  <c r="M168" i="11"/>
  <c r="M192" i="11" s="1"/>
  <c r="M225" i="11"/>
  <c r="F361" i="11"/>
  <c r="F380" i="11" s="1"/>
  <c r="L192" i="11"/>
  <c r="M172" i="11"/>
  <c r="M198" i="11"/>
  <c r="M203" i="11"/>
  <c r="M210" i="11"/>
  <c r="M215" i="11"/>
  <c r="M219" i="11"/>
  <c r="M317" i="11"/>
  <c r="M321" i="11"/>
  <c r="L337" i="11"/>
  <c r="L361" i="11" s="1"/>
  <c r="J380" i="11" s="1"/>
  <c r="M327" i="11"/>
  <c r="M333" i="11"/>
  <c r="F394" i="10"/>
  <c r="F383" i="10"/>
  <c r="F390" i="10" s="1"/>
  <c r="F392" i="10" s="1"/>
  <c r="F388" i="10"/>
  <c r="F386" i="10"/>
  <c r="F384" i="10"/>
  <c r="F385" i="10" s="1"/>
  <c r="F398" i="10"/>
  <c r="F387" i="10"/>
  <c r="F389" i="10"/>
  <c r="F397" i="10"/>
  <c r="K15" i="10"/>
  <c r="M15" i="10" s="1"/>
  <c r="L47" i="10"/>
  <c r="K47" i="10"/>
  <c r="L165" i="10"/>
  <c r="L361" i="10" s="1"/>
  <c r="J380" i="10" s="1"/>
  <c r="M20" i="10"/>
  <c r="M32" i="10"/>
  <c r="L62" i="10"/>
  <c r="K165" i="10"/>
  <c r="M165" i="10" s="1"/>
  <c r="M312" i="10"/>
  <c r="K192" i="10"/>
  <c r="M168" i="10"/>
  <c r="M192" i="10" s="1"/>
  <c r="M337" i="10"/>
  <c r="K62" i="10"/>
  <c r="K100" i="10"/>
  <c r="M100" i="10" s="1"/>
  <c r="K225" i="10"/>
  <c r="M225" i="10" s="1"/>
  <c r="M195" i="10"/>
  <c r="L29" i="10"/>
  <c r="M29" i="10" s="1"/>
  <c r="M41" i="10"/>
  <c r="J43" i="10"/>
  <c r="M50" i="10"/>
  <c r="L100" i="10"/>
  <c r="M66" i="10"/>
  <c r="M84" i="10"/>
  <c r="M113" i="10"/>
  <c r="M129" i="10"/>
  <c r="M146" i="10"/>
  <c r="M163" i="10"/>
  <c r="K359" i="10"/>
  <c r="M170" i="10"/>
  <c r="M197" i="10"/>
  <c r="M201" i="10"/>
  <c r="M208" i="10"/>
  <c r="M213" i="10"/>
  <c r="M218" i="10"/>
  <c r="M276" i="10"/>
  <c r="M280" i="10"/>
  <c r="M282" i="10"/>
  <c r="M284" i="10"/>
  <c r="M287" i="10"/>
  <c r="M289" i="10"/>
  <c r="M292" i="10"/>
  <c r="M295" i="10"/>
  <c r="M298" i="10"/>
  <c r="M303" i="10"/>
  <c r="M310" i="10"/>
  <c r="L337" i="10"/>
  <c r="M325" i="10"/>
  <c r="M328" i="10"/>
  <c r="M332" i="10"/>
  <c r="M335" i="10"/>
  <c r="M340" i="10"/>
  <c r="M359" i="10" s="1"/>
  <c r="J389" i="11" l="1"/>
  <c r="J387" i="11"/>
  <c r="J388" i="11"/>
  <c r="J386" i="11"/>
  <c r="J384" i="11"/>
  <c r="J385" i="11" s="1"/>
  <c r="J383" i="11"/>
  <c r="K361" i="11"/>
  <c r="H380" i="11" s="1"/>
  <c r="M337" i="11"/>
  <c r="M361" i="11" s="1"/>
  <c r="L380" i="11" s="1"/>
  <c r="F394" i="11"/>
  <c r="F383" i="11"/>
  <c r="F390" i="11" s="1"/>
  <c r="F392" i="11" s="1"/>
  <c r="F398" i="11"/>
  <c r="F389" i="11"/>
  <c r="F388" i="11"/>
  <c r="F387" i="11"/>
  <c r="F386" i="11"/>
  <c r="F384" i="11"/>
  <c r="F385" i="11" s="1"/>
  <c r="F397" i="11"/>
  <c r="J383" i="10"/>
  <c r="J389" i="10"/>
  <c r="J387" i="10"/>
  <c r="J388" i="10"/>
  <c r="J384" i="10"/>
  <c r="J385" i="10" s="1"/>
  <c r="J386" i="10"/>
  <c r="M62" i="10"/>
  <c r="M47" i="10"/>
  <c r="M361" i="10" s="1"/>
  <c r="L380" i="10" s="1"/>
  <c r="F399" i="10"/>
  <c r="F401" i="10" s="1"/>
  <c r="K361" i="10"/>
  <c r="H380" i="10" s="1"/>
  <c r="J390" i="11" l="1"/>
  <c r="J392" i="11" s="1"/>
  <c r="H389" i="11"/>
  <c r="H388" i="11"/>
  <c r="H387" i="11"/>
  <c r="H386" i="11"/>
  <c r="H384" i="11"/>
  <c r="H385" i="11" s="1"/>
  <c r="H383" i="11"/>
  <c r="F399" i="11"/>
  <c r="F401" i="11" s="1"/>
  <c r="L382" i="11"/>
  <c r="L388" i="11"/>
  <c r="L386" i="11"/>
  <c r="L384" i="11"/>
  <c r="L385" i="11" s="1"/>
  <c r="L387" i="11"/>
  <c r="L389" i="11"/>
  <c r="L389" i="10"/>
  <c r="L388" i="10"/>
  <c r="L387" i="10"/>
  <c r="L386" i="10"/>
  <c r="L384" i="10"/>
  <c r="L385" i="10" s="1"/>
  <c r="L382" i="10"/>
  <c r="J390" i="10"/>
  <c r="J392" i="10" s="1"/>
  <c r="H389" i="10"/>
  <c r="H388" i="10"/>
  <c r="H387" i="10"/>
  <c r="H386" i="10"/>
  <c r="H384" i="10"/>
  <c r="H385" i="10" s="1"/>
  <c r="H383" i="10"/>
  <c r="L390" i="11" l="1"/>
  <c r="L392" i="11" s="1"/>
  <c r="H390" i="11"/>
  <c r="H392" i="11" s="1"/>
  <c r="J404" i="11"/>
  <c r="J405" i="11" s="1"/>
  <c r="J406" i="11" s="1"/>
  <c r="J401" i="11"/>
  <c r="L390" i="10"/>
  <c r="L392" i="10" s="1"/>
  <c r="J404" i="10"/>
  <c r="J405" i="10" s="1"/>
  <c r="J406" i="10" s="1"/>
  <c r="J401" i="10"/>
  <c r="H390" i="10"/>
  <c r="H392" i="10" s="1"/>
  <c r="H404" i="11" l="1"/>
  <c r="H401" i="11"/>
  <c r="L401" i="11"/>
  <c r="H404" i="10"/>
  <c r="H401" i="10"/>
  <c r="L401" i="10"/>
  <c r="H405" i="11" l="1"/>
  <c r="L404" i="11"/>
  <c r="L404" i="10"/>
  <c r="H405" i="10"/>
  <c r="L405" i="11" l="1"/>
  <c r="L406" i="11" s="1"/>
  <c r="H406" i="11"/>
  <c r="L405" i="10"/>
  <c r="L406" i="10" s="1"/>
  <c r="H406" i="10"/>
  <c r="M48" i="6" l="1"/>
  <c r="I34" i="6"/>
  <c r="J34" i="6" s="1"/>
  <c r="H34" i="6"/>
  <c r="L34" i="6" s="1"/>
  <c r="M34" i="6" s="1"/>
  <c r="F34" i="6"/>
  <c r="L33" i="6"/>
  <c r="M33" i="6" s="1"/>
  <c r="H33" i="6"/>
  <c r="I33" i="6" s="1"/>
  <c r="J33" i="6" s="1"/>
  <c r="F33" i="6"/>
  <c r="F35" i="6" s="1"/>
  <c r="F36" i="6" s="1"/>
  <c r="F32" i="6"/>
  <c r="L31" i="6"/>
  <c r="M31" i="6" s="1"/>
  <c r="J31" i="6"/>
  <c r="I31" i="6"/>
  <c r="F31" i="6"/>
  <c r="F28" i="6"/>
  <c r="F29" i="6" s="1"/>
  <c r="F27" i="6"/>
  <c r="F26" i="6"/>
  <c r="F23" i="6"/>
  <c r="L22" i="6"/>
  <c r="M22" i="6" s="1"/>
  <c r="J22" i="6"/>
  <c r="I22" i="6"/>
  <c r="F22" i="6"/>
  <c r="F24" i="6" s="1"/>
  <c r="L19" i="6"/>
  <c r="M19" i="6" s="1"/>
  <c r="H19" i="6"/>
  <c r="I19" i="6" s="1"/>
  <c r="J19" i="6" s="1"/>
  <c r="F19" i="6"/>
  <c r="M18" i="6"/>
  <c r="L18" i="6"/>
  <c r="I18" i="6"/>
  <c r="J18" i="6" s="1"/>
  <c r="F18" i="6"/>
  <c r="L17" i="6"/>
  <c r="M17" i="6" s="1"/>
  <c r="J17" i="6"/>
  <c r="I17" i="6"/>
  <c r="H17" i="6"/>
  <c r="F17" i="6"/>
  <c r="H16" i="6"/>
  <c r="L16" i="6" s="1"/>
  <c r="F16" i="6"/>
  <c r="F20" i="6" s="1"/>
  <c r="F14" i="6"/>
  <c r="F13" i="6"/>
  <c r="L12" i="6"/>
  <c r="L14" i="6" s="1"/>
  <c r="J12" i="6"/>
  <c r="I12" i="6"/>
  <c r="F12" i="6"/>
  <c r="M6" i="6"/>
  <c r="M49" i="6" s="1"/>
  <c r="D59" i="6" l="1"/>
  <c r="D55" i="6"/>
  <c r="D61" i="6"/>
  <c r="D58" i="6"/>
  <c r="D60" i="6"/>
  <c r="D56" i="6"/>
  <c r="D57" i="6" s="1"/>
  <c r="D52" i="6"/>
  <c r="L36" i="6"/>
  <c r="M14" i="6"/>
  <c r="L20" i="6"/>
  <c r="M20" i="6" s="1"/>
  <c r="M16" i="6"/>
  <c r="I16" i="6"/>
  <c r="J16" i="6" s="1"/>
  <c r="L35" i="6"/>
  <c r="M35" i="6" s="1"/>
  <c r="M12" i="6"/>
  <c r="L24" i="6"/>
  <c r="M24" i="6" s="1"/>
  <c r="D63" i="6" l="1"/>
  <c r="M36" i="6"/>
  <c r="J52" i="6"/>
  <c r="D64" i="6"/>
  <c r="D65" i="6" s="1"/>
  <c r="J60" i="6" l="1"/>
  <c r="L60" i="6" s="1"/>
  <c r="J56" i="6"/>
  <c r="J58" i="6"/>
  <c r="L58" i="6" s="1"/>
  <c r="J55" i="6"/>
  <c r="J61" i="6"/>
  <c r="L61" i="6" s="1"/>
  <c r="L52" i="6"/>
  <c r="J59" i="6"/>
  <c r="L59" i="6" s="1"/>
  <c r="L55" i="6" l="1"/>
  <c r="J57" i="6"/>
  <c r="L57" i="6" s="1"/>
  <c r="L56" i="6"/>
  <c r="J63" i="6" l="1"/>
  <c r="L63" i="6" l="1"/>
  <c r="J67" i="6"/>
  <c r="F69" i="6" l="1"/>
  <c r="L67" i="6"/>
  <c r="J69" i="6"/>
  <c r="L69" i="6" s="1"/>
  <c r="J72" i="6" l="1"/>
  <c r="L72" i="6" s="1"/>
  <c r="M211" i="5" l="1"/>
  <c r="F169" i="5"/>
  <c r="F168" i="5"/>
  <c r="F170" i="5" s="1"/>
  <c r="F171" i="5" s="1"/>
  <c r="A168" i="5"/>
  <c r="A169" i="5" s="1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A154" i="5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F153" i="5"/>
  <c r="A153" i="5"/>
  <c r="F150" i="5"/>
  <c r="F149" i="5"/>
  <c r="F148" i="5"/>
  <c r="F147" i="5"/>
  <c r="F146" i="5"/>
  <c r="F151" i="5" s="1"/>
  <c r="A146" i="5"/>
  <c r="A147" i="5" s="1"/>
  <c r="A148" i="5" s="1"/>
  <c r="A149" i="5" s="1"/>
  <c r="A150" i="5" s="1"/>
  <c r="F144" i="5"/>
  <c r="F143" i="5"/>
  <c r="A143" i="5"/>
  <c r="F140" i="5"/>
  <c r="F139" i="5"/>
  <c r="F138" i="5"/>
  <c r="F137" i="5"/>
  <c r="F141" i="5" s="1"/>
  <c r="A137" i="5"/>
  <c r="A138" i="5" s="1"/>
  <c r="A139" i="5" s="1"/>
  <c r="A140" i="5" s="1"/>
  <c r="F135" i="5"/>
  <c r="F134" i="5"/>
  <c r="A134" i="5"/>
  <c r="F133" i="5"/>
  <c r="A133" i="5"/>
  <c r="F129" i="5"/>
  <c r="F128" i="5"/>
  <c r="F127" i="5"/>
  <c r="F126" i="5"/>
  <c r="F125" i="5"/>
  <c r="A125" i="5"/>
  <c r="A126" i="5" s="1"/>
  <c r="A127" i="5" s="1"/>
  <c r="A128" i="5" s="1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23" i="5" s="1"/>
  <c r="A104" i="5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F101" i="5"/>
  <c r="F102" i="5" s="1"/>
  <c r="A101" i="5"/>
  <c r="L98" i="5"/>
  <c r="L99" i="5" s="1"/>
  <c r="I98" i="5"/>
  <c r="J98" i="5" s="1"/>
  <c r="H98" i="5"/>
  <c r="F98" i="5"/>
  <c r="F99" i="5" s="1"/>
  <c r="A98" i="5"/>
  <c r="F96" i="5"/>
  <c r="L95" i="5"/>
  <c r="M95" i="5" s="1"/>
  <c r="I95" i="5"/>
  <c r="J95" i="5" s="1"/>
  <c r="F95" i="5"/>
  <c r="A95" i="5"/>
  <c r="H92" i="5"/>
  <c r="I92" i="5" s="1"/>
  <c r="J92" i="5" s="1"/>
  <c r="F92" i="5"/>
  <c r="L91" i="5"/>
  <c r="M91" i="5" s="1"/>
  <c r="I91" i="5"/>
  <c r="H91" i="5"/>
  <c r="J91" i="5" s="1"/>
  <c r="F91" i="5"/>
  <c r="H90" i="5"/>
  <c r="L90" i="5" s="1"/>
  <c r="M90" i="5" s="1"/>
  <c r="F90" i="5"/>
  <c r="A90" i="5"/>
  <c r="A91" i="5" s="1"/>
  <c r="A92" i="5" s="1"/>
  <c r="L89" i="5"/>
  <c r="M89" i="5" s="1"/>
  <c r="I89" i="5"/>
  <c r="J89" i="5" s="1"/>
  <c r="H89" i="5"/>
  <c r="F89" i="5"/>
  <c r="F93" i="5" s="1"/>
  <c r="A89" i="5"/>
  <c r="F87" i="5"/>
  <c r="F86" i="5"/>
  <c r="H85" i="5"/>
  <c r="I85" i="5" s="1"/>
  <c r="J85" i="5" s="1"/>
  <c r="F85" i="5"/>
  <c r="F80" i="5"/>
  <c r="F79" i="5"/>
  <c r="F78" i="5"/>
  <c r="F77" i="5"/>
  <c r="A77" i="5"/>
  <c r="A78" i="5" s="1"/>
  <c r="A79" i="5" s="1"/>
  <c r="A80" i="5" s="1"/>
  <c r="F76" i="5"/>
  <c r="A76" i="5"/>
  <c r="F75" i="5"/>
  <c r="F72" i="5"/>
  <c r="F71" i="5"/>
  <c r="A71" i="5"/>
  <c r="A72" i="5" s="1"/>
  <c r="F70" i="5"/>
  <c r="F73" i="5" s="1"/>
  <c r="F67" i="5"/>
  <c r="F66" i="5"/>
  <c r="F65" i="5"/>
  <c r="A65" i="5"/>
  <c r="A66" i="5" s="1"/>
  <c r="A67" i="5" s="1"/>
  <c r="F64" i="5"/>
  <c r="F68" i="5" s="1"/>
  <c r="F61" i="5"/>
  <c r="F60" i="5"/>
  <c r="F59" i="5"/>
  <c r="A59" i="5"/>
  <c r="A60" i="5" s="1"/>
  <c r="A61" i="5" s="1"/>
  <c r="F58" i="5"/>
  <c r="F62" i="5" s="1"/>
  <c r="F81" i="5" s="1"/>
  <c r="F55" i="5"/>
  <c r="F54" i="5"/>
  <c r="F53" i="5"/>
  <c r="F52" i="5"/>
  <c r="A52" i="5"/>
  <c r="A53" i="5" s="1"/>
  <c r="A54" i="5" s="1"/>
  <c r="A55" i="5" s="1"/>
  <c r="F51" i="5"/>
  <c r="F56" i="5" s="1"/>
  <c r="F48" i="5"/>
  <c r="F47" i="5"/>
  <c r="F46" i="5"/>
  <c r="F45" i="5"/>
  <c r="A45" i="5"/>
  <c r="A46" i="5" s="1"/>
  <c r="A47" i="5" s="1"/>
  <c r="A48" i="5" s="1"/>
  <c r="F44" i="5"/>
  <c r="F49" i="5" s="1"/>
  <c r="F41" i="5"/>
  <c r="F40" i="5"/>
  <c r="F39" i="5"/>
  <c r="A39" i="5"/>
  <c r="A40" i="5" s="1"/>
  <c r="A41" i="5" s="1"/>
  <c r="F38" i="5"/>
  <c r="F42" i="5" s="1"/>
  <c r="F35" i="5"/>
  <c r="F34" i="5"/>
  <c r="F33" i="5"/>
  <c r="F32" i="5"/>
  <c r="F36" i="5" s="1"/>
  <c r="A32" i="5"/>
  <c r="A33" i="5" s="1"/>
  <c r="A34" i="5" s="1"/>
  <c r="A35" i="5" s="1"/>
  <c r="F29" i="5"/>
  <c r="F28" i="5"/>
  <c r="F27" i="5"/>
  <c r="F26" i="5"/>
  <c r="F25" i="5"/>
  <c r="A25" i="5"/>
  <c r="A26" i="5" s="1"/>
  <c r="A27" i="5" s="1"/>
  <c r="A28" i="5" s="1"/>
  <c r="F24" i="5"/>
  <c r="A24" i="5"/>
  <c r="F23" i="5"/>
  <c r="F21" i="5"/>
  <c r="F20" i="5"/>
  <c r="F19" i="5"/>
  <c r="F18" i="5"/>
  <c r="F17" i="5"/>
  <c r="F16" i="5"/>
  <c r="F15" i="5"/>
  <c r="A15" i="5"/>
  <c r="A16" i="5" s="1"/>
  <c r="A17" i="5" s="1"/>
  <c r="A18" i="5" s="1"/>
  <c r="A19" i="5" s="1"/>
  <c r="A20" i="5" s="1"/>
  <c r="F14" i="5"/>
  <c r="F12" i="5"/>
  <c r="F11" i="5"/>
  <c r="M5" i="5"/>
  <c r="F72" i="4"/>
  <c r="F71" i="4"/>
  <c r="F70" i="4"/>
  <c r="F69" i="4"/>
  <c r="F68" i="4"/>
  <c r="F67" i="4"/>
  <c r="A67" i="4"/>
  <c r="A68" i="4" s="1"/>
  <c r="A69" i="4" s="1"/>
  <c r="A70" i="4" s="1"/>
  <c r="A71" i="4" s="1"/>
  <c r="A72" i="4" s="1"/>
  <c r="F66" i="4"/>
  <c r="F73" i="4" s="1"/>
  <c r="A66" i="4"/>
  <c r="F63" i="4"/>
  <c r="F62" i="4"/>
  <c r="F61" i="4"/>
  <c r="F60" i="4"/>
  <c r="F59" i="4"/>
  <c r="F58" i="4"/>
  <c r="F57" i="4"/>
  <c r="F64" i="4" s="1"/>
  <c r="A57" i="4"/>
  <c r="A58" i="4" s="1"/>
  <c r="A59" i="4" s="1"/>
  <c r="A60" i="4" s="1"/>
  <c r="A61" i="4" s="1"/>
  <c r="A62" i="4" s="1"/>
  <c r="A63" i="4" s="1"/>
  <c r="F54" i="4"/>
  <c r="F53" i="4"/>
  <c r="F52" i="4"/>
  <c r="F51" i="4"/>
  <c r="F50" i="4"/>
  <c r="F49" i="4"/>
  <c r="F48" i="4"/>
  <c r="F55" i="4" s="1"/>
  <c r="A48" i="4"/>
  <c r="A49" i="4" s="1"/>
  <c r="A50" i="4" s="1"/>
  <c r="A51" i="4" s="1"/>
  <c r="A52" i="4" s="1"/>
  <c r="A53" i="4" s="1"/>
  <c r="A54" i="4" s="1"/>
  <c r="F46" i="4"/>
  <c r="F45" i="4"/>
  <c r="F44" i="4"/>
  <c r="F43" i="4"/>
  <c r="F42" i="4"/>
  <c r="A42" i="4"/>
  <c r="A43" i="4" s="1"/>
  <c r="A44" i="4" s="1"/>
  <c r="A45" i="4" s="1"/>
  <c r="F41" i="4"/>
  <c r="A41" i="4"/>
  <c r="F38" i="4"/>
  <c r="F37" i="4"/>
  <c r="F36" i="4"/>
  <c r="F35" i="4"/>
  <c r="F39" i="4" s="1"/>
  <c r="A35" i="4"/>
  <c r="A36" i="4" s="1"/>
  <c r="A37" i="4" s="1"/>
  <c r="A38" i="4" s="1"/>
  <c r="A39" i="4" s="1"/>
  <c r="F34" i="4"/>
  <c r="A34" i="4"/>
  <c r="K31" i="4"/>
  <c r="H31" i="4"/>
  <c r="I31" i="4" s="1"/>
  <c r="J31" i="4" s="1"/>
  <c r="F31" i="4"/>
  <c r="L30" i="4"/>
  <c r="M30" i="4" s="1"/>
  <c r="K30" i="4"/>
  <c r="I30" i="4"/>
  <c r="J30" i="4" s="1"/>
  <c r="F30" i="4"/>
  <c r="K29" i="4"/>
  <c r="H29" i="4"/>
  <c r="I29" i="4" s="1"/>
  <c r="J29" i="4" s="1"/>
  <c r="F29" i="4"/>
  <c r="K28" i="4"/>
  <c r="H28" i="4"/>
  <c r="I28" i="4" s="1"/>
  <c r="J28" i="4" s="1"/>
  <c r="F28" i="4"/>
  <c r="A28" i="4"/>
  <c r="A29" i="4" s="1"/>
  <c r="A30" i="4" s="1"/>
  <c r="A31" i="4" s="1"/>
  <c r="L24" i="4"/>
  <c r="L25" i="4" s="1"/>
  <c r="K24" i="4"/>
  <c r="M24" i="4" s="1"/>
  <c r="J24" i="4"/>
  <c r="I24" i="4"/>
  <c r="F24" i="4"/>
  <c r="F25" i="4" s="1"/>
  <c r="A24" i="4"/>
  <c r="F22" i="4"/>
  <c r="L21" i="4"/>
  <c r="L22" i="4" s="1"/>
  <c r="K21" i="4"/>
  <c r="M21" i="4" s="1"/>
  <c r="J21" i="4"/>
  <c r="I21" i="4"/>
  <c r="F21" i="4"/>
  <c r="A21" i="4"/>
  <c r="F19" i="4"/>
  <c r="M18" i="4"/>
  <c r="L18" i="4"/>
  <c r="L19" i="4" s="1"/>
  <c r="K18" i="4"/>
  <c r="K19" i="4" s="1"/>
  <c r="M19" i="4" s="1"/>
  <c r="I18" i="4"/>
  <c r="J18" i="4" s="1"/>
  <c r="F18" i="4"/>
  <c r="A18" i="4"/>
  <c r="K16" i="4"/>
  <c r="M16" i="4" s="1"/>
  <c r="L15" i="4"/>
  <c r="M15" i="4" s="1"/>
  <c r="K15" i="4"/>
  <c r="I15" i="4"/>
  <c r="J15" i="4" s="1"/>
  <c r="F15" i="4"/>
  <c r="L14" i="4"/>
  <c r="K14" i="4"/>
  <c r="M14" i="4" s="1"/>
  <c r="J14" i="4"/>
  <c r="I14" i="4"/>
  <c r="F14" i="4"/>
  <c r="A14" i="4"/>
  <c r="A15" i="4" s="1"/>
  <c r="A16" i="4" s="1"/>
  <c r="L13" i="4"/>
  <c r="K13" i="4"/>
  <c r="M13" i="4" s="1"/>
  <c r="J13" i="4"/>
  <c r="I13" i="4"/>
  <c r="F13" i="4"/>
  <c r="A13" i="4"/>
  <c r="M12" i="4"/>
  <c r="K12" i="4"/>
  <c r="I12" i="4"/>
  <c r="J12" i="4" s="1"/>
  <c r="F12" i="4"/>
  <c r="F16" i="4" s="1"/>
  <c r="A12" i="4"/>
  <c r="F80" i="3"/>
  <c r="F79" i="3"/>
  <c r="F78" i="3"/>
  <c r="F77" i="3"/>
  <c r="F76" i="3"/>
  <c r="F75" i="3"/>
  <c r="A75" i="3"/>
  <c r="A76" i="3" s="1"/>
  <c r="A77" i="3" s="1"/>
  <c r="A78" i="3" s="1"/>
  <c r="A79" i="3" s="1"/>
  <c r="A80" i="3" s="1"/>
  <c r="F74" i="3"/>
  <c r="F81" i="3" s="1"/>
  <c r="A74" i="3"/>
  <c r="F70" i="3"/>
  <c r="F69" i="3"/>
  <c r="F68" i="3"/>
  <c r="F67" i="3"/>
  <c r="F66" i="3"/>
  <c r="F65" i="3"/>
  <c r="F64" i="3"/>
  <c r="F71" i="3" s="1"/>
  <c r="A64" i="3"/>
  <c r="A65" i="3" s="1"/>
  <c r="A66" i="3" s="1"/>
  <c r="A67" i="3" s="1"/>
  <c r="A68" i="3" s="1"/>
  <c r="A69" i="3" s="1"/>
  <c r="A70" i="3" s="1"/>
  <c r="F60" i="3"/>
  <c r="F59" i="3"/>
  <c r="F58" i="3"/>
  <c r="F57" i="3"/>
  <c r="F56" i="3"/>
  <c r="F55" i="3"/>
  <c r="F54" i="3"/>
  <c r="F61" i="3" s="1"/>
  <c r="A54" i="3"/>
  <c r="A55" i="3" s="1"/>
  <c r="A56" i="3" s="1"/>
  <c r="A57" i="3" s="1"/>
  <c r="A58" i="3" s="1"/>
  <c r="A59" i="3" s="1"/>
  <c r="A60" i="3" s="1"/>
  <c r="F51" i="3"/>
  <c r="F50" i="3"/>
  <c r="F49" i="3"/>
  <c r="F48" i="3"/>
  <c r="F47" i="3"/>
  <c r="A47" i="3"/>
  <c r="A48" i="3" s="1"/>
  <c r="A49" i="3" s="1"/>
  <c r="A50" i="3" s="1"/>
  <c r="F46" i="3"/>
  <c r="A46" i="3"/>
  <c r="F42" i="3"/>
  <c r="F41" i="3"/>
  <c r="F40" i="3"/>
  <c r="F39" i="3"/>
  <c r="A39" i="3"/>
  <c r="A40" i="3" s="1"/>
  <c r="A41" i="3" s="1"/>
  <c r="A42" i="3" s="1"/>
  <c r="A43" i="3" s="1"/>
  <c r="F38" i="3"/>
  <c r="F43" i="3" s="1"/>
  <c r="A38" i="3"/>
  <c r="K34" i="3"/>
  <c r="F34" i="3"/>
  <c r="K33" i="3"/>
  <c r="F33" i="3"/>
  <c r="K32" i="3"/>
  <c r="F32" i="3"/>
  <c r="K31" i="3"/>
  <c r="K35" i="3" s="1"/>
  <c r="F31" i="3"/>
  <c r="F35" i="3" s="1"/>
  <c r="A31" i="3"/>
  <c r="A32" i="3" s="1"/>
  <c r="A33" i="3" s="1"/>
  <c r="A34" i="3" s="1"/>
  <c r="A35" i="3" s="1"/>
  <c r="K28" i="3"/>
  <c r="L27" i="3"/>
  <c r="L28" i="3" s="1"/>
  <c r="K27" i="3"/>
  <c r="M27" i="3" s="1"/>
  <c r="I27" i="3"/>
  <c r="J27" i="3" s="1"/>
  <c r="F27" i="3"/>
  <c r="F28" i="3" s="1"/>
  <c r="A27" i="3"/>
  <c r="A28" i="3" s="1"/>
  <c r="L23" i="3"/>
  <c r="L24" i="3" s="1"/>
  <c r="K23" i="3"/>
  <c r="K24" i="3" s="1"/>
  <c r="J23" i="3"/>
  <c r="I23" i="3"/>
  <c r="F23" i="3"/>
  <c r="F24" i="3" s="1"/>
  <c r="A23" i="3"/>
  <c r="A20" i="3"/>
  <c r="M19" i="3"/>
  <c r="L19" i="3"/>
  <c r="L20" i="3" s="1"/>
  <c r="I19" i="3"/>
  <c r="J19" i="3" s="1"/>
  <c r="F19" i="3"/>
  <c r="F20" i="3" s="1"/>
  <c r="A19" i="3"/>
  <c r="K15" i="3"/>
  <c r="I15" i="3"/>
  <c r="J15" i="3" s="1"/>
  <c r="H15" i="3"/>
  <c r="L15" i="3" s="1"/>
  <c r="M15" i="3" s="1"/>
  <c r="F15" i="3"/>
  <c r="M14" i="3"/>
  <c r="L14" i="3"/>
  <c r="I14" i="3"/>
  <c r="J14" i="3" s="1"/>
  <c r="F14" i="3"/>
  <c r="K13" i="3"/>
  <c r="H13" i="3"/>
  <c r="I13" i="3" s="1"/>
  <c r="J13" i="3" s="1"/>
  <c r="F13" i="3"/>
  <c r="A13" i="3"/>
  <c r="A14" i="3" s="1"/>
  <c r="A15" i="3" s="1"/>
  <c r="A16" i="3" s="1"/>
  <c r="K12" i="3"/>
  <c r="K16" i="3" s="1"/>
  <c r="J12" i="3"/>
  <c r="I12" i="3"/>
  <c r="F12" i="3"/>
  <c r="F16" i="3" s="1"/>
  <c r="A12" i="3"/>
  <c r="M99" i="5" l="1"/>
  <c r="F130" i="5"/>
  <c r="F82" i="5"/>
  <c r="F172" i="5" s="1"/>
  <c r="D216" i="5" s="1"/>
  <c r="L93" i="5"/>
  <c r="M93" i="5" s="1"/>
  <c r="L85" i="5"/>
  <c r="I90" i="5"/>
  <c r="L92" i="5"/>
  <c r="M92" i="5" s="1"/>
  <c r="L96" i="5"/>
  <c r="M96" i="5" s="1"/>
  <c r="M98" i="5"/>
  <c r="J90" i="5"/>
  <c r="F32" i="4"/>
  <c r="L31" i="4"/>
  <c r="M31" i="4" s="1"/>
  <c r="F74" i="4"/>
  <c r="E107" i="4" s="1"/>
  <c r="K25" i="4"/>
  <c r="M25" i="4" s="1"/>
  <c r="K32" i="4"/>
  <c r="M28" i="4"/>
  <c r="K22" i="4"/>
  <c r="M22" i="4" s="1"/>
  <c r="L28" i="4"/>
  <c r="L29" i="4"/>
  <c r="M29" i="4" s="1"/>
  <c r="M20" i="3"/>
  <c r="K83" i="3"/>
  <c r="M13" i="3"/>
  <c r="F83" i="3"/>
  <c r="E104" i="3" s="1"/>
  <c r="M28" i="3"/>
  <c r="M24" i="3"/>
  <c r="L13" i="3"/>
  <c r="L16" i="3" s="1"/>
  <c r="L83" i="3" s="1"/>
  <c r="J104" i="3" s="1"/>
  <c r="M12" i="3"/>
  <c r="M23" i="3"/>
  <c r="D225" i="5" l="1"/>
  <c r="D224" i="5"/>
  <c r="D220" i="5"/>
  <c r="D221" i="5" s="1"/>
  <c r="D222" i="5"/>
  <c r="D223" i="5"/>
  <c r="D219" i="5"/>
  <c r="D227" i="5" s="1"/>
  <c r="D229" i="5" s="1"/>
  <c r="L172" i="5"/>
  <c r="J216" i="5" s="1"/>
  <c r="M85" i="5"/>
  <c r="L87" i="5"/>
  <c r="M87" i="5" s="1"/>
  <c r="K74" i="4"/>
  <c r="L32" i="4"/>
  <c r="L74" i="4" s="1"/>
  <c r="J107" i="4" s="1"/>
  <c r="E117" i="4"/>
  <c r="E116" i="4"/>
  <c r="E115" i="4"/>
  <c r="E114" i="4"/>
  <c r="E112" i="4"/>
  <c r="E113" i="4" s="1"/>
  <c r="E111" i="4"/>
  <c r="J114" i="3"/>
  <c r="J112" i="3"/>
  <c r="J108" i="3"/>
  <c r="J113" i="3"/>
  <c r="J111" i="3"/>
  <c r="J109" i="3"/>
  <c r="J110" i="3" s="1"/>
  <c r="M16" i="3"/>
  <c r="H104" i="3"/>
  <c r="M83" i="3"/>
  <c r="E114" i="3"/>
  <c r="E113" i="3"/>
  <c r="E112" i="3"/>
  <c r="E111" i="3"/>
  <c r="E109" i="3"/>
  <c r="E110" i="3" s="1"/>
  <c r="E108" i="3"/>
  <c r="E118" i="3" s="1"/>
  <c r="E120" i="3" s="1"/>
  <c r="J222" i="5" l="1"/>
  <c r="L222" i="5" s="1"/>
  <c r="J223" i="5"/>
  <c r="L223" i="5" s="1"/>
  <c r="J219" i="5"/>
  <c r="J225" i="5"/>
  <c r="L225" i="5" s="1"/>
  <c r="L216" i="5"/>
  <c r="J224" i="5"/>
  <c r="L224" i="5" s="1"/>
  <c r="J220" i="5"/>
  <c r="J117" i="4"/>
  <c r="J116" i="4"/>
  <c r="J115" i="4"/>
  <c r="J114" i="4"/>
  <c r="J112" i="4"/>
  <c r="J113" i="4" s="1"/>
  <c r="J111" i="4"/>
  <c r="M32" i="4"/>
  <c r="E119" i="4"/>
  <c r="E121" i="4" s="1"/>
  <c r="H107" i="4"/>
  <c r="M74" i="4"/>
  <c r="H114" i="3"/>
  <c r="L114" i="3" s="1"/>
  <c r="H113" i="3"/>
  <c r="L113" i="3" s="1"/>
  <c r="H112" i="3"/>
  <c r="L112" i="3" s="1"/>
  <c r="H111" i="3"/>
  <c r="L111" i="3" s="1"/>
  <c r="H109" i="3"/>
  <c r="H108" i="3"/>
  <c r="L104" i="3"/>
  <c r="J120" i="3"/>
  <c r="J123" i="3" s="1"/>
  <c r="L219" i="5" l="1"/>
  <c r="L220" i="5"/>
  <c r="J221" i="5"/>
  <c r="L221" i="5" s="1"/>
  <c r="J121" i="4"/>
  <c r="J124" i="4" s="1"/>
  <c r="H117" i="4"/>
  <c r="L117" i="4" s="1"/>
  <c r="H116" i="4"/>
  <c r="L116" i="4" s="1"/>
  <c r="H115" i="4"/>
  <c r="L115" i="4" s="1"/>
  <c r="H114" i="4"/>
  <c r="L114" i="4" s="1"/>
  <c r="H112" i="4"/>
  <c r="H111" i="4"/>
  <c r="L107" i="4"/>
  <c r="L108" i="3"/>
  <c r="J127" i="3"/>
  <c r="J130" i="3" s="1"/>
  <c r="H110" i="3"/>
  <c r="L110" i="3" s="1"/>
  <c r="L109" i="3"/>
  <c r="J227" i="5" l="1"/>
  <c r="H113" i="4"/>
  <c r="L113" i="4" s="1"/>
  <c r="L112" i="4"/>
  <c r="L111" i="4"/>
  <c r="H121" i="4"/>
  <c r="H120" i="3"/>
  <c r="L227" i="5" l="1"/>
  <c r="J231" i="5"/>
  <c r="H124" i="4"/>
  <c r="L121" i="4"/>
  <c r="H123" i="3"/>
  <c r="L120" i="3"/>
  <c r="L231" i="5" l="1"/>
  <c r="J233" i="5"/>
  <c r="L233" i="5" s="1"/>
  <c r="H128" i="4"/>
  <c r="H132" i="4"/>
  <c r="L124" i="4"/>
  <c r="H127" i="3"/>
  <c r="L127" i="3" s="1"/>
  <c r="H130" i="3"/>
  <c r="L130" i="3" s="1"/>
  <c r="L123" i="3"/>
  <c r="J236" i="5" l="1"/>
  <c r="L236" i="5" s="1"/>
  <c r="J128" i="4"/>
  <c r="J132" i="4" s="1"/>
  <c r="L132" i="4" s="1"/>
  <c r="L128" i="4" l="1"/>
  <c r="L147" i="2" l="1"/>
  <c r="M122" i="2"/>
  <c r="F91" i="2"/>
  <c r="K90" i="2"/>
  <c r="M90" i="2" s="1"/>
  <c r="I90" i="2"/>
  <c r="J90" i="2" s="1"/>
  <c r="E90" i="2"/>
  <c r="L90" i="2" s="1"/>
  <c r="L92" i="2" s="1"/>
  <c r="A90" i="2"/>
  <c r="A91" i="2" s="1"/>
  <c r="A92" i="2" s="1"/>
  <c r="K86" i="2"/>
  <c r="M86" i="2" s="1"/>
  <c r="I86" i="2"/>
  <c r="J86" i="2" s="1"/>
  <c r="F86" i="2"/>
  <c r="L85" i="2"/>
  <c r="L87" i="2" s="1"/>
  <c r="K85" i="2"/>
  <c r="J85" i="2"/>
  <c r="I85" i="2"/>
  <c r="F85" i="2"/>
  <c r="M84" i="2"/>
  <c r="K84" i="2"/>
  <c r="J84" i="2"/>
  <c r="I84" i="2"/>
  <c r="F84" i="2"/>
  <c r="A84" i="2"/>
  <c r="A85" i="2" s="1"/>
  <c r="A86" i="2" s="1"/>
  <c r="A87" i="2" s="1"/>
  <c r="M83" i="2"/>
  <c r="K83" i="2"/>
  <c r="J83" i="2"/>
  <c r="I83" i="2"/>
  <c r="F83" i="2"/>
  <c r="F87" i="2" s="1"/>
  <c r="A83" i="2"/>
  <c r="K81" i="2"/>
  <c r="A81" i="2"/>
  <c r="L80" i="2"/>
  <c r="L81" i="2" s="1"/>
  <c r="M81" i="2" s="1"/>
  <c r="K80" i="2"/>
  <c r="J80" i="2"/>
  <c r="I80" i="2"/>
  <c r="F80" i="2"/>
  <c r="F81" i="2" s="1"/>
  <c r="A80" i="2"/>
  <c r="L77" i="2"/>
  <c r="M77" i="2" s="1"/>
  <c r="K77" i="2"/>
  <c r="J77" i="2"/>
  <c r="I77" i="2"/>
  <c r="F77" i="2"/>
  <c r="M76" i="2"/>
  <c r="L76" i="2"/>
  <c r="K76" i="2"/>
  <c r="I76" i="2"/>
  <c r="J76" i="2" s="1"/>
  <c r="F76" i="2"/>
  <c r="L75" i="2"/>
  <c r="K75" i="2"/>
  <c r="M75" i="2" s="1"/>
  <c r="J75" i="2"/>
  <c r="I75" i="2"/>
  <c r="F75" i="2"/>
  <c r="L74" i="2"/>
  <c r="K74" i="2"/>
  <c r="M74" i="2" s="1"/>
  <c r="I74" i="2"/>
  <c r="J74" i="2" s="1"/>
  <c r="F74" i="2"/>
  <c r="L73" i="2"/>
  <c r="L78" i="2" s="1"/>
  <c r="J73" i="2"/>
  <c r="I73" i="2"/>
  <c r="F73" i="2"/>
  <c r="L72" i="2"/>
  <c r="K72" i="2"/>
  <c r="K78" i="2" s="1"/>
  <c r="M78" i="2" s="1"/>
  <c r="I72" i="2"/>
  <c r="J72" i="2" s="1"/>
  <c r="F72" i="2"/>
  <c r="F78" i="2" s="1"/>
  <c r="A72" i="2"/>
  <c r="A73" i="2" s="1"/>
  <c r="A74" i="2" s="1"/>
  <c r="A75" i="2" s="1"/>
  <c r="A76" i="2" s="1"/>
  <c r="A77" i="2" s="1"/>
  <c r="A78" i="2" s="1"/>
  <c r="F70" i="2"/>
  <c r="F69" i="2"/>
  <c r="F68" i="2"/>
  <c r="A68" i="2"/>
  <c r="A69" i="2" s="1"/>
  <c r="L67" i="2"/>
  <c r="L70" i="2" s="1"/>
  <c r="K67" i="2"/>
  <c r="K70" i="2" s="1"/>
  <c r="J67" i="2"/>
  <c r="I67" i="2"/>
  <c r="F67" i="2"/>
  <c r="A67" i="2"/>
  <c r="L64" i="2"/>
  <c r="L65" i="2" s="1"/>
  <c r="K64" i="2"/>
  <c r="J64" i="2"/>
  <c r="I64" i="2"/>
  <c r="F64" i="2"/>
  <c r="K63" i="2"/>
  <c r="M63" i="2" s="1"/>
  <c r="I63" i="2"/>
  <c r="J63" i="2" s="1"/>
  <c r="F63" i="2"/>
  <c r="K62" i="2"/>
  <c r="M62" i="2" s="1"/>
  <c r="I62" i="2"/>
  <c r="J62" i="2" s="1"/>
  <c r="F62" i="2"/>
  <c r="K61" i="2"/>
  <c r="M61" i="2" s="1"/>
  <c r="I61" i="2"/>
  <c r="J61" i="2" s="1"/>
  <c r="F61" i="2"/>
  <c r="A61" i="2"/>
  <c r="A62" i="2" s="1"/>
  <c r="A63" i="2" s="1"/>
  <c r="A65" i="2" s="1"/>
  <c r="K60" i="2"/>
  <c r="I60" i="2"/>
  <c r="J60" i="2" s="1"/>
  <c r="F60" i="2"/>
  <c r="F65" i="2" s="1"/>
  <c r="A60" i="2"/>
  <c r="K57" i="2"/>
  <c r="M57" i="2" s="1"/>
  <c r="I57" i="2"/>
  <c r="J57" i="2" s="1"/>
  <c r="F57" i="2"/>
  <c r="K56" i="2"/>
  <c r="M56" i="2" s="1"/>
  <c r="I56" i="2"/>
  <c r="J56" i="2" s="1"/>
  <c r="F56" i="2"/>
  <c r="K55" i="2"/>
  <c r="M55" i="2" s="1"/>
  <c r="I55" i="2"/>
  <c r="J55" i="2" s="1"/>
  <c r="F55" i="2"/>
  <c r="A55" i="2"/>
  <c r="A56" i="2" s="1"/>
  <c r="A57" i="2" s="1"/>
  <c r="A58" i="2" s="1"/>
  <c r="K54" i="2"/>
  <c r="M54" i="2" s="1"/>
  <c r="I54" i="2"/>
  <c r="J54" i="2" s="1"/>
  <c r="F54" i="2"/>
  <c r="F58" i="2" s="1"/>
  <c r="A54" i="2"/>
  <c r="L51" i="2"/>
  <c r="M50" i="2"/>
  <c r="M51" i="2" s="1"/>
  <c r="L50" i="2"/>
  <c r="K50" i="2"/>
  <c r="K51" i="2" s="1"/>
  <c r="I50" i="2"/>
  <c r="J50" i="2" s="1"/>
  <c r="F50" i="2"/>
  <c r="F51" i="2" s="1"/>
  <c r="A50" i="2"/>
  <c r="A51" i="2" s="1"/>
  <c r="L47" i="2"/>
  <c r="M47" i="2" s="1"/>
  <c r="I47" i="2"/>
  <c r="J47" i="2" s="1"/>
  <c r="F47" i="2"/>
  <c r="L46" i="2"/>
  <c r="M46" i="2" s="1"/>
  <c r="I46" i="2"/>
  <c r="J46" i="2" s="1"/>
  <c r="F46" i="2"/>
  <c r="L45" i="2"/>
  <c r="M45" i="2" s="1"/>
  <c r="I45" i="2"/>
  <c r="J45" i="2" s="1"/>
  <c r="F45" i="2"/>
  <c r="L44" i="2"/>
  <c r="M44" i="2" s="1"/>
  <c r="I44" i="2"/>
  <c r="J44" i="2" s="1"/>
  <c r="F44" i="2"/>
  <c r="L43" i="2"/>
  <c r="M43" i="2" s="1"/>
  <c r="I43" i="2"/>
  <c r="J43" i="2" s="1"/>
  <c r="H43" i="2"/>
  <c r="F43" i="2"/>
  <c r="H42" i="2"/>
  <c r="L42" i="2" s="1"/>
  <c r="M42" i="2" s="1"/>
  <c r="F42" i="2"/>
  <c r="I41" i="2"/>
  <c r="J41" i="2" s="1"/>
  <c r="H41" i="2"/>
  <c r="L41" i="2" s="1"/>
  <c r="M41" i="2" s="1"/>
  <c r="F41" i="2"/>
  <c r="H40" i="2"/>
  <c r="F40" i="2"/>
  <c r="L39" i="2"/>
  <c r="M39" i="2" s="1"/>
  <c r="I39" i="2"/>
  <c r="J39" i="2" s="1"/>
  <c r="H39" i="2"/>
  <c r="F39" i="2"/>
  <c r="H38" i="2"/>
  <c r="L38" i="2" s="1"/>
  <c r="M38" i="2" s="1"/>
  <c r="F38" i="2"/>
  <c r="L37" i="2"/>
  <c r="M37" i="2" s="1"/>
  <c r="I37" i="2"/>
  <c r="J37" i="2" s="1"/>
  <c r="H37" i="2"/>
  <c r="F37" i="2"/>
  <c r="H36" i="2"/>
  <c r="F36" i="2"/>
  <c r="L35" i="2"/>
  <c r="M35" i="2" s="1"/>
  <c r="I35" i="2"/>
  <c r="J35" i="2" s="1"/>
  <c r="H35" i="2"/>
  <c r="F35" i="2"/>
  <c r="H34" i="2"/>
  <c r="L34" i="2" s="1"/>
  <c r="M34" i="2" s="1"/>
  <c r="F34" i="2"/>
  <c r="L33" i="2"/>
  <c r="M33" i="2" s="1"/>
  <c r="I33" i="2"/>
  <c r="J33" i="2" s="1"/>
  <c r="H33" i="2"/>
  <c r="F33" i="2"/>
  <c r="H32" i="2"/>
  <c r="F32" i="2"/>
  <c r="A32" i="2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K29" i="2"/>
  <c r="M29" i="2" s="1"/>
  <c r="I29" i="2"/>
  <c r="J29" i="2" s="1"/>
  <c r="F29" i="2"/>
  <c r="A29" i="2"/>
  <c r="K28" i="2"/>
  <c r="M28" i="2" s="1"/>
  <c r="I28" i="2"/>
  <c r="J28" i="2" s="1"/>
  <c r="F28" i="2"/>
  <c r="L27" i="2"/>
  <c r="L30" i="2" s="1"/>
  <c r="K27" i="2"/>
  <c r="J27" i="2"/>
  <c r="I27" i="2"/>
  <c r="F27" i="2"/>
  <c r="K26" i="2"/>
  <c r="I26" i="2"/>
  <c r="J26" i="2" s="1"/>
  <c r="H26" i="2"/>
  <c r="L26" i="2" s="1"/>
  <c r="F26" i="2"/>
  <c r="M25" i="2"/>
  <c r="K25" i="2"/>
  <c r="J25" i="2"/>
  <c r="I25" i="2"/>
  <c r="F25" i="2"/>
  <c r="M24" i="2"/>
  <c r="K24" i="2"/>
  <c r="K30" i="2" s="1"/>
  <c r="J24" i="2"/>
  <c r="I24" i="2"/>
  <c r="F24" i="2"/>
  <c r="A24" i="2"/>
  <c r="A25" i="2" s="1"/>
  <c r="A26" i="2" s="1"/>
  <c r="A27" i="2" s="1"/>
  <c r="A28" i="2" s="1"/>
  <c r="F22" i="2"/>
  <c r="L21" i="2"/>
  <c r="K21" i="2"/>
  <c r="I21" i="2"/>
  <c r="J21" i="2" s="1"/>
  <c r="F21" i="2"/>
  <c r="M20" i="2"/>
  <c r="J20" i="2"/>
  <c r="I20" i="2"/>
  <c r="F20" i="2"/>
  <c r="M19" i="2"/>
  <c r="I19" i="2"/>
  <c r="J19" i="2" s="1"/>
  <c r="F19" i="2"/>
  <c r="M18" i="2"/>
  <c r="J18" i="2"/>
  <c r="I18" i="2"/>
  <c r="F18" i="2"/>
  <c r="M17" i="2"/>
  <c r="I17" i="2"/>
  <c r="J17" i="2" s="1"/>
  <c r="F17" i="2"/>
  <c r="A17" i="2"/>
  <c r="A18" i="2" s="1"/>
  <c r="A19" i="2" s="1"/>
  <c r="A20" i="2" s="1"/>
  <c r="A21" i="2" s="1"/>
  <c r="A22" i="2" s="1"/>
  <c r="K14" i="2"/>
  <c r="I14" i="2"/>
  <c r="J14" i="2" s="1"/>
  <c r="H14" i="2"/>
  <c r="L14" i="2" s="1"/>
  <c r="F14" i="2"/>
  <c r="F15" i="2" s="1"/>
  <c r="L13" i="2"/>
  <c r="K13" i="2"/>
  <c r="M13" i="2" s="1"/>
  <c r="I13" i="2"/>
  <c r="J13" i="2" s="1"/>
  <c r="F13" i="2"/>
  <c r="A13" i="2"/>
  <c r="A14" i="2" s="1"/>
  <c r="A15" i="2" s="1"/>
  <c r="K12" i="2"/>
  <c r="M12" i="2" s="1"/>
  <c r="I12" i="2"/>
  <c r="J12" i="2" s="1"/>
  <c r="F12" i="2"/>
  <c r="A12" i="2"/>
  <c r="L11" i="2"/>
  <c r="K11" i="2"/>
  <c r="K15" i="2" s="1"/>
  <c r="J11" i="2"/>
  <c r="H11" i="2"/>
  <c r="I11" i="2" s="1"/>
  <c r="F11" i="2"/>
  <c r="M4" i="2"/>
  <c r="L15" i="2" l="1"/>
  <c r="M30" i="2"/>
  <c r="F30" i="2"/>
  <c r="F48" i="2"/>
  <c r="I36" i="2"/>
  <c r="J36" i="2" s="1"/>
  <c r="L36" i="2"/>
  <c r="M36" i="2" s="1"/>
  <c r="I40" i="2"/>
  <c r="J40" i="2" s="1"/>
  <c r="L40" i="2"/>
  <c r="M40" i="2" s="1"/>
  <c r="M14" i="2"/>
  <c r="M21" i="2"/>
  <c r="K22" i="2"/>
  <c r="M22" i="2" s="1"/>
  <c r="M26" i="2"/>
  <c r="M27" i="2"/>
  <c r="I32" i="2"/>
  <c r="J32" i="2" s="1"/>
  <c r="L32" i="2"/>
  <c r="K58" i="2"/>
  <c r="M58" i="2" s="1"/>
  <c r="K65" i="2"/>
  <c r="M65" i="2" s="1"/>
  <c r="M70" i="2"/>
  <c r="K87" i="2"/>
  <c r="M87" i="2" s="1"/>
  <c r="I34" i="2"/>
  <c r="J34" i="2" s="1"/>
  <c r="I38" i="2"/>
  <c r="J38" i="2" s="1"/>
  <c r="I42" i="2"/>
  <c r="J42" i="2" s="1"/>
  <c r="M60" i="2"/>
  <c r="M64" i="2"/>
  <c r="M67" i="2"/>
  <c r="M80" i="2"/>
  <c r="M85" i="2"/>
  <c r="K92" i="2"/>
  <c r="M11" i="2"/>
  <c r="F90" i="2"/>
  <c r="F92" i="2" s="1"/>
  <c r="M72" i="2"/>
  <c r="F93" i="2" l="1"/>
  <c r="E128" i="2" s="1"/>
  <c r="L48" i="2"/>
  <c r="M48" i="2" s="1"/>
  <c r="M32" i="2"/>
  <c r="L93" i="2"/>
  <c r="J128" i="2" s="1"/>
  <c r="M92" i="2"/>
  <c r="K93" i="2"/>
  <c r="M15" i="2"/>
  <c r="J137" i="2" l="1"/>
  <c r="J136" i="2"/>
  <c r="J135" i="2"/>
  <c r="J134" i="2"/>
  <c r="J133" i="2"/>
  <c r="J132" i="2"/>
  <c r="H128" i="2"/>
  <c r="M93" i="2"/>
  <c r="E137" i="2"/>
  <c r="E136" i="2"/>
  <c r="E135" i="2"/>
  <c r="E134" i="2"/>
  <c r="E133" i="2"/>
  <c r="E132" i="2"/>
  <c r="L128" i="2" l="1"/>
  <c r="H137" i="2"/>
  <c r="L137" i="2" s="1"/>
  <c r="H135" i="2"/>
  <c r="L135" i="2" s="1"/>
  <c r="H133" i="2"/>
  <c r="L133" i="2" s="1"/>
  <c r="H136" i="2"/>
  <c r="L136" i="2" s="1"/>
  <c r="H134" i="2"/>
  <c r="L134" i="2" s="1"/>
  <c r="H132" i="2"/>
  <c r="E140" i="2"/>
  <c r="E143" i="2" s="1"/>
  <c r="E138" i="2"/>
  <c r="J143" i="2"/>
  <c r="J145" i="2" s="1"/>
  <c r="J149" i="2" s="1"/>
  <c r="J138" i="2"/>
  <c r="L132" i="2" l="1"/>
  <c r="H138" i="2"/>
  <c r="L138" i="2" s="1"/>
  <c r="H143" i="2"/>
  <c r="H145" i="2" s="1"/>
  <c r="L145" i="2" l="1"/>
  <c r="H149" i="2"/>
  <c r="L149" i="2" s="1"/>
  <c r="L143" i="2"/>
</calcChain>
</file>

<file path=xl/sharedStrings.xml><?xml version="1.0" encoding="utf-8"?>
<sst xmlns="http://schemas.openxmlformats.org/spreadsheetml/2006/main" count="4346" uniqueCount="804">
  <si>
    <t>CORPORACION DE ACUEDUCTOS Y ALCANTARILLADOS DE PUERTO PLATA</t>
  </si>
  <si>
    <t>"CORAAPPLATA"</t>
  </si>
  <si>
    <t>OBRAS:</t>
  </si>
  <si>
    <t>AMPLIACION ACUEDUCTO CABARETE</t>
  </si>
  <si>
    <t>MONTO  CONTRATADO:</t>
  </si>
  <si>
    <t>CUBICACION NO.:</t>
  </si>
  <si>
    <t>MONTO AVANCE:</t>
  </si>
  <si>
    <t>FECHA DE REALIZACION:</t>
  </si>
  <si>
    <t>JULIO 29, 2024</t>
  </si>
  <si>
    <t>NO. CONTRATO:</t>
  </si>
  <si>
    <t>006/2022</t>
  </si>
  <si>
    <t>CONTRATISTA:</t>
  </si>
  <si>
    <t>ESTEBAN POLANCO</t>
  </si>
  <si>
    <t xml:space="preserve">                                      PARTIDAS PRESUPUESTO</t>
  </si>
  <si>
    <t>CANTIDADES</t>
  </si>
  <si>
    <t>COSTOS RD$</t>
  </si>
  <si>
    <t>CODIGO</t>
  </si>
  <si>
    <t>DESCRIPCION</t>
  </si>
  <si>
    <t>UND.</t>
  </si>
  <si>
    <t>CANTIDAD</t>
  </si>
  <si>
    <t>P. U. RD$</t>
  </si>
  <si>
    <t>TOTAL</t>
  </si>
  <si>
    <t>ANTERIOR</t>
  </si>
  <si>
    <t>PRESENTE</t>
  </si>
  <si>
    <t>ACUMULADO</t>
  </si>
  <si>
    <t>%</t>
  </si>
  <si>
    <t>I</t>
  </si>
  <si>
    <t xml:space="preserve">LINEA DE IMPULSION LOS CASTILLOS </t>
  </si>
  <si>
    <t xml:space="preserve">PRELIMINARES </t>
  </si>
  <si>
    <t>REPLANTEO (CON TOPOGRAFO)</t>
  </si>
  <si>
    <t>ML</t>
  </si>
  <si>
    <t xml:space="preserve">SUMINISTRO Y COLOCACION DE LETREROS </t>
  </si>
  <si>
    <t>UND</t>
  </si>
  <si>
    <t>CORTE DE ASFALTO</t>
  </si>
  <si>
    <t xml:space="preserve">MANTENIMIENTO DEL TRANSITO </t>
  </si>
  <si>
    <t xml:space="preserve">SUBTOTAL </t>
  </si>
  <si>
    <t xml:space="preserve">MOVIMIENTOS DE TIERRA </t>
  </si>
  <si>
    <t>EXCAVACION CON EQUIPO</t>
  </si>
  <si>
    <t>M3</t>
  </si>
  <si>
    <t xml:space="preserve">ASIENTO DE ARENA </t>
  </si>
  <si>
    <t xml:space="preserve">BOTE DE MATERIAL </t>
  </si>
  <si>
    <t>RELLENO COMPACTADO DE REPOSICION</t>
  </si>
  <si>
    <t xml:space="preserve">DEMOLICION DE SUPERFICIE CON COMPRESOR </t>
  </si>
  <si>
    <t>HORAS</t>
  </si>
  <si>
    <t>SUBTOTAL</t>
  </si>
  <si>
    <t>SUMINISTRO Y COLOCACION DE:</t>
  </si>
  <si>
    <t xml:space="preserve">TUBERIA  PVC SDR-26 6" C/JG+5% POR CAMPANA </t>
  </si>
  <si>
    <t xml:space="preserve">TUBERIA  PVC SDR-26 4" C/JG+5% POR CAMPANA </t>
  </si>
  <si>
    <t xml:space="preserve">TUBERIA  PVC SCH-40 2" C/JG+5% POR CAMPANA </t>
  </si>
  <si>
    <t xml:space="preserve">ACOMETIDAS DOMICILIARIAS </t>
  </si>
  <si>
    <t>UD</t>
  </si>
  <si>
    <t xml:space="preserve">ELECTROBOMBA MONOBLOQUE HIDROMAC 275GPM VS 260'TDH INCULUYE MANIFOLD </t>
  </si>
  <si>
    <t>KIT ARRANCADOR MAGNETICO 30 HP 460V 3F</t>
  </si>
  <si>
    <t>PIEZAS ESPECIALES (SUMINISTRO Y COLOCACION)</t>
  </si>
  <si>
    <t>CODOS EN HIERRO NEGRO DE 45 GRADOS DE 6"</t>
  </si>
  <si>
    <t>CODOS EN HIERRO NEGRO DE 90 GRADOS DE 6"</t>
  </si>
  <si>
    <t>TEE EN HIERRO NEGRO SOLDABLE DE 6"</t>
  </si>
  <si>
    <t xml:space="preserve">VALVULAS DE COMPUERTA PLATILLADA DE Ø6" VASTAGO FIJO </t>
  </si>
  <si>
    <t>CODOS EN HIERRO NEGRO DE 45 GRADOS DE 4"</t>
  </si>
  <si>
    <t>CODOS EN HIERRO NEGRO DE 90 GRADOS DE 4"</t>
  </si>
  <si>
    <t>TEE EN HIERRO NEGRO SOLDABLE DE 4"</t>
  </si>
  <si>
    <t xml:space="preserve">VALVULAS DE COMPUERTA PLATILLADA DE Ø4" VASTAGO FIJO </t>
  </si>
  <si>
    <t>CODOS EN HIERRO NEGRO DE 45 GRADOS DE 2"</t>
  </si>
  <si>
    <t>CODOS EN HIERRO NEGRO DE 90 GRADOS DE 2"</t>
  </si>
  <si>
    <t>TEE EN HIERRO NEGRO SOLDABLE DE 2"</t>
  </si>
  <si>
    <t xml:space="preserve">VALVULAS DE COMPUERTA PLATILLADA DE Ø2" VASTAGO FIJO </t>
  </si>
  <si>
    <t>VALVULAS DE AIRE DE 1" 250 PSI DE TRIPLE FUNCION, COMPLETA CON SU NIPLE Y VALVULA DE BOLA</t>
  </si>
  <si>
    <t>JUNTA DRESSER DE 6"</t>
  </si>
  <si>
    <t>JUNTA DRESSER DE 4"</t>
  </si>
  <si>
    <t>JUNTA DRESSER DE 2"</t>
  </si>
  <si>
    <t>Sub total</t>
  </si>
  <si>
    <t>ANCLAJES EN CONCRETO</t>
  </si>
  <si>
    <t>ANCLAJE EN TUBERIA DE 6" (1.0X0.85X0.60)H.S.</t>
  </si>
  <si>
    <t>II</t>
  </si>
  <si>
    <t xml:space="preserve">LINEA DE DISTRIBUCION CALLEJON DE LA LOMA </t>
  </si>
  <si>
    <t xml:space="preserve">DEMOLICION ROCA CON COMPRESOR </t>
  </si>
  <si>
    <t xml:space="preserve">TUBERIA 6 PVC SDR-26 C/JG+5% POR CAMPANA </t>
  </si>
  <si>
    <t>BOMBA SUMERGIBLE DE 400 GPM Y 280 TDH, PANEL DE CONTROL CON CABLE</t>
  </si>
  <si>
    <t>BOMBA SUMERGIBLE DE 400 GPM Y 180 TDH, PANEL DE CONTROL CON CABLE</t>
  </si>
  <si>
    <t xml:space="preserve">AFORO POZOS DE CABARETE </t>
  </si>
  <si>
    <t xml:space="preserve">PRUEBA  DE AFORO </t>
  </si>
  <si>
    <t xml:space="preserve">ANALISIS QUIMICO </t>
  </si>
  <si>
    <t xml:space="preserve">INFORME CONCLUSIONES Y RECOMENDACIONES </t>
  </si>
  <si>
    <t xml:space="preserve">ALQUILER DE PLANTA </t>
  </si>
  <si>
    <t>III</t>
  </si>
  <si>
    <t xml:space="preserve">INSTALACION ELECTRICA </t>
  </si>
  <si>
    <t>INSTALACION ELECTRICA</t>
  </si>
  <si>
    <t>INSTALACION ELECTRICA LINEA DE IMPULSION LOS CASTILLOS</t>
  </si>
  <si>
    <t>PA</t>
  </si>
  <si>
    <t>INSTALACION ELECTRICA DISTRIBUCION DEL CALLEJON DE LA LOMA</t>
  </si>
  <si>
    <t>SUBTOTAL PRESUPUESTO</t>
  </si>
  <si>
    <t xml:space="preserve">                                                                                                               CORPORACION DE ACUEDUCTOS Y ALCANTARILLADOS DE PUERTO PLATA</t>
  </si>
  <si>
    <t xml:space="preserve"> ESTEBAN POLANCO MOLINA</t>
  </si>
  <si>
    <t xml:space="preserve">SUB-TOTAL GENERAL PRESUPUESTO + ADICIONALES </t>
  </si>
  <si>
    <t>PRESUPUESTO</t>
  </si>
  <si>
    <t>MAS:</t>
  </si>
  <si>
    <t>GASTOS INDIRECTOS</t>
  </si>
  <si>
    <t>HONORARIOS PROFESIONALES</t>
  </si>
  <si>
    <t>GASTOS ADMINISTRATIVOS</t>
  </si>
  <si>
    <t>GASTOS DE TRANSPORTE</t>
  </si>
  <si>
    <t>SEGUROS, POLIZAS Y FIANZAS</t>
  </si>
  <si>
    <t>LEY 6/86</t>
  </si>
  <si>
    <t>CODIA</t>
  </si>
  <si>
    <t>ITBIS A HONORARIOS PROFESIONALES</t>
  </si>
  <si>
    <t>SUB-TOTAL GASTOS INDIRECTOS</t>
  </si>
  <si>
    <t xml:space="preserve">TOTAL GENERAL  </t>
  </si>
  <si>
    <t>SUB-TOTAL CUBICADO</t>
  </si>
  <si>
    <t>MENOS:</t>
  </si>
  <si>
    <t>AMORTIZACION DEL AVANCE</t>
  </si>
  <si>
    <t>TOTAL A PAGAR EN CUBICACION 05</t>
  </si>
  <si>
    <t>PREPARADO POR:</t>
  </si>
  <si>
    <t>REVISADO POR:</t>
  </si>
  <si>
    <t>APROBADO POR:</t>
  </si>
  <si>
    <t xml:space="preserve"> MARCOS JOEL GARCIA GARCIA</t>
  </si>
  <si>
    <t>JUAN RAMON MOORE CHECO</t>
  </si>
  <si>
    <t xml:space="preserve">ESTEBAN POLANCO MOLINA </t>
  </si>
  <si>
    <t xml:space="preserve">      OLIVER JOSE NAZARIO BRUGAL</t>
  </si>
  <si>
    <t>ANALISTA DEPTO. FISCALIZACION DE OBRAS</t>
  </si>
  <si>
    <t>ENC. DEPTO. FISCALIZACION DE OBRAS</t>
  </si>
  <si>
    <t>DIRECTOR GENERAL</t>
  </si>
  <si>
    <t>Pág. 01/02</t>
  </si>
  <si>
    <t>AMPLIACION ACUEDUCTO DE SAN MARCOS</t>
  </si>
  <si>
    <t>MONTO  CONTRATADO CON ADENDA :</t>
  </si>
  <si>
    <t>JULIO, 2024</t>
  </si>
  <si>
    <t xml:space="preserve"> </t>
  </si>
  <si>
    <t>007/2022</t>
  </si>
  <si>
    <t>ING. WASCAR VASQUEZ</t>
  </si>
  <si>
    <t xml:space="preserve">Letrero de obra </t>
  </si>
  <si>
    <t>und</t>
  </si>
  <si>
    <t xml:space="preserve">Manejo de transito </t>
  </si>
  <si>
    <t>ml.</t>
  </si>
  <si>
    <t xml:space="preserve">Corte de asfalto </t>
  </si>
  <si>
    <t>Replanteo (con topógrafo)</t>
  </si>
  <si>
    <t xml:space="preserve">Subtotal </t>
  </si>
  <si>
    <t>Perforación y aforo de pozos</t>
  </si>
  <si>
    <t>Pozos nuevos a perforar</t>
  </si>
  <si>
    <t>Suministro tuberia:</t>
  </si>
  <si>
    <t>Tubería pvc-sdr 21  12' + 5% por camp</t>
  </si>
  <si>
    <t>Colocacion de tuberia:</t>
  </si>
  <si>
    <t xml:space="preserve">Tubería pvc-sdr 21  12' </t>
  </si>
  <si>
    <t>Movimiento de tierra:</t>
  </si>
  <si>
    <t>Excavación con equipo</t>
  </si>
  <si>
    <t>Asiento de arena de 10 cm</t>
  </si>
  <si>
    <t>Bote de material</t>
  </si>
  <si>
    <t xml:space="preserve">Relleno compactado de reposición  </t>
  </si>
  <si>
    <t xml:space="preserve">Empalme a  tanque cuesta amarilla </t>
  </si>
  <si>
    <t xml:space="preserve">Suministro tuberia HN 12" </t>
  </si>
  <si>
    <t xml:space="preserve">Confeccion de andamio </t>
  </si>
  <si>
    <t xml:space="preserve">Pintura </t>
  </si>
  <si>
    <t xml:space="preserve">Mano de obra colocacion </t>
  </si>
  <si>
    <t xml:space="preserve">Suministro y colocacion Junta dresser 12" </t>
  </si>
  <si>
    <t xml:space="preserve">Cruce de alcantarilla </t>
  </si>
  <si>
    <t>Anclaje en tuberia de 12"  h.s.</t>
  </si>
  <si>
    <t>ESTACION DE BOMBEO #1</t>
  </si>
  <si>
    <t>bomba sumergible de 400 gpm y 300 tdh, panel de control con cable de panel a motor de 120 pies, control de fase, 100 pies de columnas de diametro en funcion de la bomba</t>
  </si>
  <si>
    <t>cheque horizontal ø8¨ platillado completo (pn 10, asiento en bronce, niples platillados, juntas de goma y sus tornillos )</t>
  </si>
  <si>
    <t>válvulas de compuerta  ø8¨ completa (pn 10, vástago fijo, juntas  dresser criolla, 2 niples platillados de 8", juntas de goma y sus tornillos)</t>
  </si>
  <si>
    <t>suministro e instalacion de manifold de 8", inlcluir manometro de 0-200 psi.</t>
  </si>
  <si>
    <t>pilar para instalacion de panel de control en h.a 210 kg/ cm2 (0.5x1.8*0.2) ø3/8@20 ad (incluir zapata 1.2x1.2x0.25)</t>
  </si>
  <si>
    <t>vaciado de recubrimiento de tuberia del pozo</t>
  </si>
  <si>
    <t>cercado de area de estacion de bombeo 4 m x 4 m en malla ciclonica 6 pies</t>
  </si>
  <si>
    <t>ESTACION DE BOMBEO #2</t>
  </si>
  <si>
    <t xml:space="preserve">                                         CORPORACION DE ACUEDUCTOS Y ALCANTARILLADOS DE PUERTO PLATA</t>
  </si>
  <si>
    <t>Pag 2/2</t>
  </si>
  <si>
    <t>OBRA:</t>
  </si>
  <si>
    <t xml:space="preserve">AMPLIACION ACUEDUCTO DE SAN MARCOS
</t>
  </si>
  <si>
    <t xml:space="preserve">SUB-TOTAL GENERAL GASTOS DIRECTOS </t>
  </si>
  <si>
    <t>SUB-TOTAL GENERAL</t>
  </si>
  <si>
    <t>TRANSPORTE</t>
  </si>
  <si>
    <t xml:space="preserve">SUB-TOTAL GASTOS INDIRECTOS  </t>
  </si>
  <si>
    <t xml:space="preserve">TOTAL PRESUPUESTO </t>
  </si>
  <si>
    <t>TOTAL A PAGAR EN CUBICACION 02</t>
  </si>
  <si>
    <t xml:space="preserve">WASCAR DE JESUS VASQUEZ SUERO </t>
  </si>
  <si>
    <t xml:space="preserve">                OLIVER JOSE NAZARIO BRUGAL</t>
  </si>
  <si>
    <t xml:space="preserve">     ENC. DEPTO. FISCALIZACION DE OBRAS</t>
  </si>
  <si>
    <t>24 DE JULIO, 2024</t>
  </si>
  <si>
    <t>TOTAL A PAGAR EN CUBICACION 03</t>
  </si>
  <si>
    <t>AMPLIACIÓN ACUEDUCTOS CAMÚ, LOS DOMINGUEZ, ALTOS DE
CHAVÓN Y LOS PALOMOS</t>
  </si>
  <si>
    <t>15 DE JULIO, 2024</t>
  </si>
  <si>
    <t>004/2022</t>
  </si>
  <si>
    <t>NAHBERT S.R.L</t>
  </si>
  <si>
    <t xml:space="preserve">  </t>
  </si>
  <si>
    <t>PRELIMINARES</t>
  </si>
  <si>
    <t>INGENIERIA Y CAMPAMENTO</t>
  </si>
  <si>
    <t>KM</t>
  </si>
  <si>
    <t>B</t>
  </si>
  <si>
    <t>REHABILITACION DE ESTRUCTURAS EXISTENTES</t>
  </si>
  <si>
    <t>DESAGUE DE 4'' EN ACERO HN EN CANAL</t>
  </si>
  <si>
    <t>PAÑETE EN SOPORTES DE CONCRETO</t>
  </si>
  <si>
    <t>M2</t>
  </si>
  <si>
    <t>PAÑETE EN SEPARADORES DE SOPORTES</t>
  </si>
  <si>
    <t>ARENA FINA DEL LECHO FILTRANTE</t>
  </si>
  <si>
    <t>ARENA GRUESA DEL LECHO FILTRANTE</t>
  </si>
  <si>
    <t>GRAVA DEL LECHO FILTRANTE</t>
  </si>
  <si>
    <t>AGREGADO GRUESO DEL LECHO FILTRANTE</t>
  </si>
  <si>
    <t>C</t>
  </si>
  <si>
    <t>SUMINISTRO Y COLOCACION DE ACCESORIOS </t>
  </si>
  <si>
    <t>ESCALERA VERTICAL HIERRO 2 M DE H</t>
  </si>
  <si>
    <t>ESCALERA VERTICAL ACERO INOXIDABLE 3M DE H</t>
  </si>
  <si>
    <t xml:space="preserve">TAPA RECTANGULAR EN ACERO INOXIDABLE  1M X 1M </t>
  </si>
  <si>
    <t>TUBO DE 6'' DE ACERO HN</t>
  </si>
  <si>
    <t>PORTAL DE HIERRO 4 M X 2 M (2 HOJAS)</t>
  </si>
  <si>
    <t xml:space="preserve">PUERTA DE MADERA 2.10 M X 0.90 M </t>
  </si>
  <si>
    <t>D</t>
  </si>
  <si>
    <t>VALVULAS VASTAGO FIJO (SUMINISTRO Y COLOCACION) </t>
  </si>
  <si>
    <t>VALVULA VASTAGO FIJO 6''</t>
  </si>
  <si>
    <t>SUMINISTRO DE VALVULA DE 6"</t>
  </si>
  <si>
    <t>INSTALACION</t>
  </si>
  <si>
    <t>ABRAZADERA</t>
  </si>
  <si>
    <t>NIPPLE DE 6"</t>
  </si>
  <si>
    <t>E</t>
  </si>
  <si>
    <t>VALVULAS VASTAGO FIJO 4''</t>
  </si>
  <si>
    <t>SUMINISTRO DE VALVULA DE 4"</t>
  </si>
  <si>
    <t>NIPPLE DE 4"</t>
  </si>
  <si>
    <t>F</t>
  </si>
  <si>
    <t>SUMINISTRO Y APLICACION DE PINTURA </t>
  </si>
  <si>
    <t>PINTURA EPOXICA EN LECHO FILTRANTE</t>
  </si>
  <si>
    <t>PINTURA EPOXICA EN SEDIMENTADOR</t>
  </si>
  <si>
    <t>PINTURA ACRILICA EN CASETA DE CLORACION</t>
  </si>
  <si>
    <t>PINTURA ACRILICA EN EXTERIOR DE TANQUE Y SOPORTES</t>
  </si>
  <si>
    <t>PINTURA ACRILICA EN VERJA PERIMETRAL</t>
  </si>
  <si>
    <t>G</t>
  </si>
  <si>
    <t>CONSTRUCCION DE VERJA PERIMETRAL</t>
  </si>
  <si>
    <t>MUROS</t>
  </si>
  <si>
    <t>ZAPATA DE MURO</t>
  </si>
  <si>
    <t>EXCAVACIÓN ZAPATA DE MURO</t>
  </si>
  <si>
    <t>BOTE</t>
  </si>
  <si>
    <t>PAÑETE</t>
  </si>
  <si>
    <t>H</t>
  </si>
  <si>
    <t>MISCELANEOS</t>
  </si>
  <si>
    <t>CAMINO DE ACCESO</t>
  </si>
  <si>
    <t>LIMPIEZA DE FILTROS</t>
  </si>
  <si>
    <t>LIMPIEZA Y BOTE DE ESCOMBROS EN LECHO FILTRANTE</t>
  </si>
  <si>
    <t>LIMPIEZA Y BOTE DE ESCOMBROS EN TANQUE RECEPTOR</t>
  </si>
  <si>
    <t>RECONSTRUCCION DE LOSA DEL TANQUE </t>
  </si>
  <si>
    <t>DEMOLICION</t>
  </si>
  <si>
    <t>CONSTRUCCION DE LOSA</t>
  </si>
  <si>
    <t>FINO DE LOSA</t>
  </si>
  <si>
    <t>J</t>
  </si>
  <si>
    <t>REPOSICION DE ACERA EN PERIMETRO (0.10M DE ESPESOR) </t>
  </si>
  <si>
    <t>CONSTRUCCION DE ACERA</t>
  </si>
  <si>
    <t>K</t>
  </si>
  <si>
    <t>RECONSTRUCCION DE CASETA DE CLORACION </t>
  </si>
  <si>
    <t>CONSTRUCCION DE MURO</t>
  </si>
  <si>
    <t>LOSA</t>
  </si>
  <si>
    <t xml:space="preserve">SUB-TOTAL </t>
  </si>
  <si>
    <t xml:space="preserve">ESTACION DE BOMBEOS LOS DOMINGUEZ </t>
  </si>
  <si>
    <t>A</t>
  </si>
  <si>
    <t>REPLANTEO (CON TOPÓGRAFO)</t>
  </si>
  <si>
    <t>LIMPIEZA GENERAL</t>
  </si>
  <si>
    <t>MOVIMIENTO DE TIERRA:</t>
  </si>
  <si>
    <t>EXCAVACIÓN A MANO EN ROCA 19M X 0.60M X 1.10 M</t>
  </si>
  <si>
    <t xml:space="preserve">ASIENTO DE ARENA DE 10 CM </t>
  </si>
  <si>
    <t>BOTE DE MATERIAL</t>
  </si>
  <si>
    <t xml:space="preserve">RELLENO COMPACTADO DE REPOSICIÓN  </t>
  </si>
  <si>
    <t>CONSTRUCCION DE CASETA DE BOMBEO </t>
  </si>
  <si>
    <t>ESTACION DE BOMBEO INCLUYE BOMBAS, ELECTRIFICACION, CASETA Y CARCAMO DE BOMBEO</t>
  </si>
  <si>
    <t>SUMINISTRO Y COLOCACIÓN DE:</t>
  </si>
  <si>
    <t xml:space="preserve">TUBERIA LINEA DE 6” PVC SCH-40+ 5% POR CAMPANA </t>
  </si>
  <si>
    <t>SUMINISTRO Y COLOCACION DE PIEZAS ESPECIALES</t>
  </si>
  <si>
    <t>SUMINISTRO Y COLOCACION VÁLVULAS DE COMPUERTA Ø6¨ COMPLETA (VÁSTAGO FIJO, ASIENTO RESILIENTE, JUNTAS DRESSER CRIOLLA, NIPLE DE 6", ANCLAJE EN H.S. JUNTAS DE GOMA Y SUS TORNILLOS)</t>
  </si>
  <si>
    <t>TANQUE DE ALMACENAMIENTO DE  100 M3 (6.37M X 6.07M X 3M)</t>
  </si>
  <si>
    <t xml:space="preserve">EXCAVACION CON EQUIPO 5.77M X 5.77M X 0.80M </t>
  </si>
  <si>
    <t>RELLENO DE REPOSICION COMPACTADO</t>
  </si>
  <si>
    <t>ML.</t>
  </si>
  <si>
    <t>BOTE DE MATERIAL EXCAVADO</t>
  </si>
  <si>
    <t>LIMPIEZA BASE CISATERNA POR DERRUMBES SUELO</t>
  </si>
  <si>
    <t>HORMIGON ARMADO EN FONDO H=0.30 M, (HORMIGON 240KG/CM2)</t>
  </si>
  <si>
    <t>HORMIGON ARMADO PAREDES ANCHO =0.30 M, (HORMIGON 240KG/CM2)</t>
  </si>
  <si>
    <t>HORMIGON ARMADO EN LOSA H=0.15 M, (HORMIGON 240KG/CM2)</t>
  </si>
  <si>
    <t>FRAGUACHE</t>
  </si>
  <si>
    <t>PAÑETE INTERIOR Y EXTERIOR PULIDO</t>
  </si>
  <si>
    <t>CINTA WATER STOP DE 9"</t>
  </si>
  <si>
    <t>PINTURA EN CISTERNA</t>
  </si>
  <si>
    <t>ESCALERA</t>
  </si>
  <si>
    <t xml:space="preserve">SUMINISTRO E INSTALACION DE TAPA METALICA </t>
  </si>
  <si>
    <t>PINTURA EXTERIOR</t>
  </si>
  <si>
    <t xml:space="preserve">TUBERIA 6" ACERO </t>
  </si>
  <si>
    <t>TUBO DE VENTILACION</t>
  </si>
  <si>
    <t>CONO DE REBOSE</t>
  </si>
  <si>
    <t>CODO de 6" x 90 ACERO</t>
  </si>
  <si>
    <t>COLOCACION Y SUMINISTRO DE ASFALTO</t>
  </si>
  <si>
    <t>REMOCION</t>
  </si>
  <si>
    <t>REPOSICION</t>
  </si>
  <si>
    <t xml:space="preserve">LINEA DE IMPULSION DE SABANA GRANDE </t>
  </si>
  <si>
    <t>TRABAJOS GENERALES</t>
  </si>
  <si>
    <t>LONGITUD TOTAL (REPLANTEO)</t>
  </si>
  <si>
    <t>LIMPIEZA GENERAL Y CONTINUA</t>
  </si>
  <si>
    <t>ASIENTO DE ARENA DE 10 CM</t>
  </si>
  <si>
    <t>REGADO NIVELADO Y COMPACTADO RELLENO M3C</t>
  </si>
  <si>
    <t>CARGA Y BOTE MATERIAL - RETROPALA CAT416E</t>
  </si>
  <si>
    <t xml:space="preserve">SUMINISTRO Y COLOCACION DE TUBERIA </t>
  </si>
  <si>
    <t xml:space="preserve">TUBERIA DE 4” PVC-SCH 40 + 2.5% POR CAMPANA </t>
  </si>
  <si>
    <t>SUMINISTRO Y COLOCACION VÁLVULAS DE COMPUERTA Ø2¨ COMPLETA (VÁSTAGO FIJO, ASIENTO RESILIENTE, JUNTAS DRESSER CRIOLLA, NIPLE DE 2". JUNTAS DE GOMA Y SUS TORNILLOS)</t>
  </si>
  <si>
    <t>SUMINISTRO Y COLOCACION VÁLVULAS DE COMPUERTA Ø3¨ COMPLETA (VÁSTAGO FIJO, ASIENTO RESILIENTE, JUNTAS DRESSER CRIOLLA, NIPLE DE 3", ANCLAJE EN H.S. JUNTAS DE GOMA Y SUS TORNILLOS)</t>
  </si>
  <si>
    <t>SUMINISTRO Y COLOCACION VÁLVULAS DE COMPUERTA Ø4¨ COMPLETA (VÁSTAGO FIJO, ASIENTO RESILIENTE, JUNTAS DRESSER CRIOLLA, NIPLE DE 4", ANCLAJE EN H.S. JUNTAS DE GOMA Y SUS TORNILLOS)</t>
  </si>
  <si>
    <t>SUMINISTRO Y COLOCACION TAPON DE PVC DE 4" ANCLADO CON HORMIGON SIMPLE</t>
  </si>
  <si>
    <t>EMPALMES CON LINEAS EXISTENTES</t>
  </si>
  <si>
    <t>DEPOSITO DE RELEVO DE 40 M3 (4.4X4.9X2.5)</t>
  </si>
  <si>
    <t>EXCAVACION A MANO</t>
  </si>
  <si>
    <t>PISO HA E=0.15m 3/8"@0.25m EN A.D. FROTADO - HORMIGON INDUSTRIAL 210KG/CM2</t>
  </si>
  <si>
    <t>LOSA HA E=0.15m 3/8"@0.25m AD HORMIGON INDUSTRIAL 210Kg/cm2</t>
  </si>
  <si>
    <t>BLOQUES HORMIGON DE 8" - 3/8" @ 0.40m TODAS LAS CAMARAS LLENAS</t>
  </si>
  <si>
    <t>COLUMNA DE AMARRE 20x20 4 Ø3/8" - 3/8"@0.20m TAPA Y TAPA 1:2:4 CON LIGADORA</t>
  </si>
  <si>
    <t>COLUMNA AISLADA TIPO PILAR EN EL CENTRO 20x20 4 Ø1/2" - 1/2"@0.20m 1:2:4 CON LIGADORA</t>
  </si>
  <si>
    <t>VIGA DE CORONACION 20x20 4 Ø 3/8" - 3/8"@0.20m 1:2:4 CON LIGADORA</t>
  </si>
  <si>
    <t>ZAPATAS MUROS 8" 0.60m x 0.25m HORMIGON 1:2:4 CON LIGADORA</t>
  </si>
  <si>
    <t>ZAPATAS COLUMNA 5 UNIDADES 1.0m x 0.25m HORMIGON 1:2:4 CON LIGADORA</t>
  </si>
  <si>
    <t>EMPAÑETE PULIDO</t>
  </si>
  <si>
    <t>ZABALETA INTERIOR DE CISTERNA</t>
  </si>
  <si>
    <t>TAPA DE HIERRO GALBANIZADO</t>
  </si>
  <si>
    <t>CARGA Y BOTE DE MATERIAL</t>
  </si>
  <si>
    <t>ELECTROMECANICO</t>
  </si>
  <si>
    <t xml:space="preserve">ELECTROBOMBAS COMPLETAS DE 125 GPM VS 170' TDH INCLUYE, VALVULAS, MANYFORD ENTRE OTROS ELEMENTOS.  </t>
  </si>
  <si>
    <t xml:space="preserve">TRABAJOS ELECTROMECANICOS GENERAL Y CONEXIÓN A LA RED INCLUYE LINEA CON POSTE ELECTRICO, PANEL, BAJA TENSION, ENTRE OTROS ELEMENTOS.  </t>
  </si>
  <si>
    <t>TOTAL GENERAL DE PRESUPUESTO</t>
  </si>
  <si>
    <t>SEGUROS, PÓLIZAS Y FIANZAS</t>
  </si>
  <si>
    <t xml:space="preserve">TOTAL GENERAL </t>
  </si>
  <si>
    <t>TOTAL A PAGAR EN CUBICACION 01</t>
  </si>
  <si>
    <t>RAFAEL LEONIDAS DIAZ CUESTA</t>
  </si>
  <si>
    <t>Pág. 01/03</t>
  </si>
  <si>
    <t>INSTALACIÓN DE RED DE ABASTECIMIENTO DE AGUA POTABLE EN LA GALLERA LOS CHARAMICOS Y LA PIEDRA, MUNICIPIO SOSUA</t>
  </si>
  <si>
    <t>10 DE JULIO, 2024</t>
  </si>
  <si>
    <t>002/2023</t>
  </si>
  <si>
    <t>NARKAA SOLUCIONES ELECTRICAS SRL.</t>
  </si>
  <si>
    <t>RED DE AGUA POTABLE</t>
  </si>
  <si>
    <t>EXCAVACIÓN CON EQUIPO</t>
  </si>
  <si>
    <t>TUBERÍA LINEA DE IMPULSION 6'' PVC SCH-40  + 5% POR CAMP</t>
  </si>
  <si>
    <t>TUBERÍA 6'' HIERRO NEGRO  + 5% POR CAMP</t>
  </si>
  <si>
    <t>SUMINISTRO Y COLOCACION VÁLVULAS DE COMPUERTA  Ø6¨ COMPLETA (VÁSTAGO FIJO, ASIENTO RESILIENTE, JUNTAS  DRESSER CRIOLLA, NIPLE DE 6", ANCLAJE EN H.S. JUNTAS DE GOMA Y SUS TORNILLOS )</t>
  </si>
  <si>
    <t>CONEXION O EMPALMES CON LINEAS EXISTENTES</t>
  </si>
  <si>
    <t>INTERCONEXION A LINEA DE 20 PULG</t>
  </si>
  <si>
    <t>ASFALTO - TODO COSTO</t>
  </si>
  <si>
    <t xml:space="preserve">CORTE DE ASFALTO CON MAQUINA (E=4") AMBOS LADOS 0.70M </t>
  </si>
  <si>
    <t>RIEGO DE ADHERENCIA</t>
  </si>
  <si>
    <t>COLOCACION DE HORMIGÓN ASFÁLTICO EN CALIENTE EN PLANTA</t>
  </si>
  <si>
    <t>COLOCACIÓN CARPETA ASFÁLTICA EN CALIENTE - TODO COSTO 4 PULG</t>
  </si>
  <si>
    <t>LEY 6-86</t>
  </si>
  <si>
    <t>IMPREVISTOS (SOLO JUSTIFICABLES CON CUBICACIÓN)</t>
  </si>
  <si>
    <t>JOHANNA JOSE SILVERIO DE LEON</t>
  </si>
  <si>
    <t>REHABILITACION ACUEDUCTO ESTERO HONDO</t>
  </si>
  <si>
    <t>RD$17,880,561.06</t>
  </si>
  <si>
    <t>SEPTIEMBRE 5, 2024</t>
  </si>
  <si>
    <t>002/2022</t>
  </si>
  <si>
    <t>DOS CAMINOS DEVELOPMENT S.R.L</t>
  </si>
  <si>
    <t>MISELANEOS</t>
  </si>
  <si>
    <t>LETRERO DE OBRA</t>
  </si>
  <si>
    <t>CAMPAMENTO</t>
  </si>
  <si>
    <t>MES</t>
  </si>
  <si>
    <t>MANEJO DE TRANSITO Y SEGURIDAD VIAL</t>
  </si>
  <si>
    <t>PERFORACIÓN Y AFORO DE POZOS</t>
  </si>
  <si>
    <t>POZOS NUEVOS A PERFORAR</t>
  </si>
  <si>
    <t xml:space="preserve">PERFORACIÓN POZOS ACERO 12" </t>
  </si>
  <si>
    <t>PL</t>
  </si>
  <si>
    <t>HINCADO DE TUBERÍA 12" ACERO</t>
  </si>
  <si>
    <t>RANURADO, CORTE Y SOLDADURA DE TUBERÍA 12"</t>
  </si>
  <si>
    <t>SUMINISTRO DE ZAPATA</t>
  </si>
  <si>
    <t>SUMINISTRO DE TUBERÍA DE 12" ACERO 3/8</t>
  </si>
  <si>
    <t>PRUEBA DE AFORO 24 H</t>
  </si>
  <si>
    <t>ANÁLISIS FIS-QUÍMICO Y BACTERIOLÓGICO-AGUAS</t>
  </si>
  <si>
    <t xml:space="preserve">INFORME TÉCNICO LITOLÓGICO, HIDRÁULICO E HIDROQUÍMICO CON SUS CONCLUSIONES Y RECOMENDACIONES </t>
  </si>
  <si>
    <t>SUMINISTRO DE AGUA PARA LA PERFORACIÓN</t>
  </si>
  <si>
    <t>PERFORACION DE POZO EN 8"</t>
  </si>
  <si>
    <t>ENCAMISADO EN TUBERIA PVC SDR 26 DE 8"</t>
  </si>
  <si>
    <t>LINEA DE IMPULSION A TANQUE RANCHO MANUEL</t>
  </si>
  <si>
    <t>RED</t>
  </si>
  <si>
    <t>REPLANTEO LNEA DE 12" (CON TOPOGRAFO)</t>
  </si>
  <si>
    <t>LINEA DE 12"</t>
  </si>
  <si>
    <t>EXCAVACION CON EQUIPO EN LINEA DE 12"</t>
  </si>
  <si>
    <t>ASIENTO DE ARENA</t>
  </si>
  <si>
    <t>RELLENO COMPACTADO 60% DE EXCAVACION</t>
  </si>
  <si>
    <t>RELLENO COMPACTADO C/TOSCA O CALICHE P/SUST. M.</t>
  </si>
  <si>
    <t>SUMINISTRO Y COLOCACION DE: </t>
  </si>
  <si>
    <t>TUBERIA DE 12" PVC-SDR 21 CJ/G + 5% POR CAMP</t>
  </si>
  <si>
    <t>PRUEBAS HIDROSTATICAS</t>
  </si>
  <si>
    <t>PRUEBAS HIDROSTATICAS PARA TUBERIA DE 12"</t>
  </si>
  <si>
    <t>ACOMETIAS Y REPARACIONES</t>
  </si>
  <si>
    <t>ACOMETIDAS DOMICILIARIAS TIPO 1 DE 6 ML</t>
  </si>
  <si>
    <t xml:space="preserve">REPARACION DE ACOMETIDAS </t>
  </si>
  <si>
    <t>REHABILITACION DE TANQUE DE RANCHO MANUEL</t>
  </si>
  <si>
    <t>P.A</t>
  </si>
  <si>
    <t>PINTURA EPOXICA:</t>
  </si>
  <si>
    <t xml:space="preserve">EN MUROS </t>
  </si>
  <si>
    <t>PIEZAS ESPECIALES</t>
  </si>
  <si>
    <t>VALVULAS COMPUERTAS PLATILLADAS DE 8'' (COMPLETA)</t>
  </si>
  <si>
    <t>VALVULAS COMPUERTAS PLATILLADAS DE 6'' COMPLETA)</t>
  </si>
  <si>
    <t>CODOS DE 8" X 45 HN</t>
  </si>
  <si>
    <t>CODOS DE 8" X 90 HN</t>
  </si>
  <si>
    <t>T DE 8" HN</t>
  </si>
  <si>
    <t>REGISTRO 07.M X 0.7M</t>
  </si>
  <si>
    <t>TUBERIA DE 8” ACERO</t>
  </si>
  <si>
    <t>REHABILITACION ESTACION DE RELEVO GREGORIO</t>
  </si>
  <si>
    <t>CASETA DE BOMBEO</t>
  </si>
  <si>
    <t>P.A.</t>
  </si>
  <si>
    <t>CASETA DE BOMBEO 3MX3M</t>
  </si>
  <si>
    <t>REHABILITACION MALLA CICLONICA</t>
  </si>
  <si>
    <t>DEMOLICION CISTERNA VIEJA</t>
  </si>
  <si>
    <t>DEMOLICION DE EDIFICACION EXISTENTE</t>
  </si>
  <si>
    <t>BOTE DE ESCOMBROS Y DESMONTE DE ARBOLES</t>
  </si>
  <si>
    <t>CISTERNA 170,000 GL</t>
  </si>
  <si>
    <t>BOTE DE MATERIAL SOBRANTE DE LA EXCAVACION</t>
  </si>
  <si>
    <t>LOSA DE FONDO HA E=0.15m 1/2"@0.20m EN A.D. FROTADO - HORMIGON INDUSTRIAL 240KG/CM2</t>
  </si>
  <si>
    <t>ZAPATA DE COLUMNA</t>
  </si>
  <si>
    <t>COLUMNA C1 40x40 4 f 3/4" - 4 f 1/2"- 3/8"@0.10m HORMIGON INDUSTRIAL 240 KG/CM2</t>
  </si>
  <si>
    <t>COLUMNA C2 40x30 6 f1/2" - 3/8"@0.10m 1:2:4 HORMIGON INDUSTRIAL 240 KG/CM2</t>
  </si>
  <si>
    <t>VIGA 30x45  2 f 1/2" - 4 f 3/4"- 3/8"@0.20m HORMIGON INDUSTRIAL 240 KG/CM2</t>
  </si>
  <si>
    <t>MUROS DE HORMIGON ARMADO DE 0.30M ESPESOR 3/8"@0.20m EJE Y, 1/2 @ 20 EJE X A.C HORMIGON 240 KG/CM2</t>
  </si>
  <si>
    <t>LOSA SUPERIOR E=0.15m 3/8 @0.15 A.D ADIC. 3/8 @30 - HORMIGON INDUSTRIAL 240KG/CM2</t>
  </si>
  <si>
    <t>ZAPATA DE MUROS 1/2 @ 0.20m A.C y A.D HORMIGON INDUSTRIAL 240 KG/CM2</t>
  </si>
  <si>
    <t>RESPIRADERO DE 6"</t>
  </si>
  <si>
    <t>REBOSE DE 6"</t>
  </si>
  <si>
    <t xml:space="preserve">PAÑETE </t>
  </si>
  <si>
    <t>ZABALETA</t>
  </si>
  <si>
    <t>TAPA DE CISTERNA</t>
  </si>
  <si>
    <t>PINTURA:</t>
  </si>
  <si>
    <t>VALVULAS COMPUERTAS 4'' PLATILLADA (COMPLETA)</t>
  </si>
  <si>
    <t>VALVULA COMPUERTA DE 6" PLATILLADA (COMPLETA)</t>
  </si>
  <si>
    <t>VALVULA COMPUERTA DE 8" PLATILLADA (COMPLETA)</t>
  </si>
  <si>
    <t>CODO DE 6"X 90 HN</t>
  </si>
  <si>
    <t>CODO DE 4"X 90 HN</t>
  </si>
  <si>
    <t>CODO DE 8"X 90 HN</t>
  </si>
  <si>
    <t>T DE 6"A 4"</t>
  </si>
  <si>
    <t>INSTALACIONES ELECTROMECANICAS</t>
  </si>
  <si>
    <t>INSTALACION ELECTRICA DE MEDIA TENSION </t>
  </si>
  <si>
    <t>SUMINISTRO E INSTALACION BANCO DE TRANSFORMADORES DE  3*50KVA 7200/12400-240/480V, EN POSTE</t>
  </si>
  <si>
    <t>BASE PARA TRANSFORMADOR</t>
  </si>
  <si>
    <t>BASE METALICA PARA CUT-OUT Y PARARRAYO</t>
  </si>
  <si>
    <t>UD.</t>
  </si>
  <si>
    <t>USO DE GRUA PARA SUBIR LOS TRANSFORMADORES</t>
  </si>
  <si>
    <t>POSTE HAV-500-12</t>
  </si>
  <si>
    <t>POSTE HAV-500-14</t>
  </si>
  <si>
    <t xml:space="preserve">ALAMBRE AAAC #4/0 </t>
  </si>
  <si>
    <t>PIE</t>
  </si>
  <si>
    <t>ESTRUCTURA TIPO MT-316</t>
  </si>
  <si>
    <t>ESTRUCTURA TIPO MT-307</t>
  </si>
  <si>
    <t>ESTRUCTURA TIPO MT-301</t>
  </si>
  <si>
    <t>ESTRUCTURA TIPO MT-202</t>
  </si>
  <si>
    <t>ESTRUCTURA HA-100</t>
  </si>
  <si>
    <t>TORNILLO TIPO PIN PARA CRUCETA DE METAL</t>
  </si>
  <si>
    <t>SUMINITRO E INSTALACION POTE DE HA V 800-12</t>
  </si>
  <si>
    <t>CUT-OUT 100AMPS</t>
  </si>
  <si>
    <t>PARARRAYO DE 9KV</t>
  </si>
  <si>
    <t>FUSIBLE PARA MEDIA TENSION DE 7AMPS</t>
  </si>
  <si>
    <t>SISTEMA DE TIERRA</t>
  </si>
  <si>
    <t>RIEL UNITRUD DE 3/4</t>
  </si>
  <si>
    <t>ABRAZADERA DE 3'' UNITRON</t>
  </si>
  <si>
    <t>TUBO IMC DE 3*10</t>
  </si>
  <si>
    <t>CONDULET DE 3</t>
  </si>
  <si>
    <t>TUBERIA SDR26 DE 3''*19'</t>
  </si>
  <si>
    <t>EXCAVACION DE 45*0.80*0.60</t>
  </si>
  <si>
    <t>TAPADO ZANJA</t>
  </si>
  <si>
    <t>HOYO PARA VIENTO Y POSTE</t>
  </si>
  <si>
    <t>ADAPTADOR PVC HEMBRA DE 3''</t>
  </si>
  <si>
    <t>VACIADO HORMIGON EN FIJACION POSTES</t>
  </si>
  <si>
    <t>MATERIALES VARIOS</t>
  </si>
  <si>
    <t>P. A.</t>
  </si>
  <si>
    <t>MANO DE OBRA</t>
  </si>
  <si>
    <t xml:space="preserve"> EQUIPAMIENTO DE ESTACION DE BOMBEO #1</t>
  </si>
  <si>
    <t>MOTO-BOMBA MONOBLOCK DE 200 GPM Y 190 PIE DE TDH, COMPLETA 25 HP</t>
  </si>
  <si>
    <t xml:space="preserve">PLATILLOS DE 6'' PARA SOLDAR </t>
  </si>
  <si>
    <t xml:space="preserve">PLATILLOS DE 2'' PARA SOLDAR </t>
  </si>
  <si>
    <t>VALVULA DE 6'' PLATILLADA VASTAGO ASCENDENTE ANSI 150</t>
  </si>
  <si>
    <t xml:space="preserve">VALVULA DE 2'' PLATILLADA </t>
  </si>
  <si>
    <t>VALVULA CHEQUE DE 6’‘PLATILLADA ANSI 150</t>
  </si>
  <si>
    <t>TORNILLOS DE 3/4x3" CON SUS TUERCAS</t>
  </si>
  <si>
    <t>VALVULA DE AIRE DE 1"</t>
  </si>
  <si>
    <t xml:space="preserve">JUNTA DE METAL DE 6" PARA UNION DE TUBERIA (IMPORTADA) </t>
  </si>
  <si>
    <t>TUBERIA DE 6"x1/4"x20'</t>
  </si>
  <si>
    <t>TORNILLOS DE 5/8x3" CON SU TUERCA</t>
  </si>
  <si>
    <t>TUBERIA DE 2"x1/4"x20' DE ACERO PARA DESAGUE</t>
  </si>
  <si>
    <t xml:space="preserve">MANOMETRIA </t>
  </si>
  <si>
    <t>ALIMENTADOR DESDE CCM A POZO</t>
  </si>
  <si>
    <t xml:space="preserve"> EQUIPAMIENTO DE ESTACION DE BOMBEO #2.</t>
  </si>
  <si>
    <t>MOTO-BOMBA MONOBLOCK DE 80 GPM Y 375 PIE DE TDH, COMPLETA 15 HP</t>
  </si>
  <si>
    <t xml:space="preserve">PLATILLOS DE 4'' PARA SOLDAR </t>
  </si>
  <si>
    <t>VALVULA DE 4'' PLATILLADA VASTAGO ASCENDENTE ANSI 150</t>
  </si>
  <si>
    <t>VALVULA CHEQUE DE 4’‘PLATILLADA ANSI 150</t>
  </si>
  <si>
    <t>VALVULA DE AIRE DE 3/4"</t>
  </si>
  <si>
    <t xml:space="preserve">JUNTA DE METAL DE 4" PARA UNION DE TUBERIA (IMPORTADA) </t>
  </si>
  <si>
    <t>TUBERIA DE 4"x1/4"x20'</t>
  </si>
  <si>
    <t>LINEA DE ADUCCION A ESTACION DE RELEVO GREGORIO</t>
  </si>
  <si>
    <t>TUBERIA DE 8" PVC-SCH40 + 5% POR CAMPANA</t>
  </si>
  <si>
    <t>PRUEBAS HIDROSTATICAS PARA TUBERIA DE 8"</t>
  </si>
  <si>
    <t>CRUCES EN TUBERIA DE HIERRO</t>
  </si>
  <si>
    <t>CRUCES EN TUBERIA DE HIERRO DE 8"</t>
  </si>
  <si>
    <t>ANCLAJES</t>
  </si>
  <si>
    <t>PIEZA ESPECIALES</t>
  </si>
  <si>
    <t>VALVULAS</t>
  </si>
  <si>
    <t>VALVULA DESAGUE DE BOLA DE 3" CON SU NIPLE</t>
  </si>
  <si>
    <t xml:space="preserve">VALVULA VENTOSA DE TRIPLE FUNCION DE 1 1/2" ROSCADA </t>
  </si>
  <si>
    <t>ASFALTO</t>
  </si>
  <si>
    <t>ACOMETIDAS Y REPARACIONES DE AVERIAS</t>
  </si>
  <si>
    <t>REPARACION DE AVERIAS DE 6"</t>
  </si>
  <si>
    <t>LINEA DE IMPULSION A TANQUE TIBURCIO Y REHABILITACION DEL TANQUE.</t>
  </si>
  <si>
    <t>TUBERIA DE 4" SDR 21 C/J DE GOMA + 5% POR CAMP.</t>
  </si>
  <si>
    <t>PRUEBAS HIDROSTATICAS PARA TUBERIA DE 4"</t>
  </si>
  <si>
    <t>CRUCES EN TUBERIA DE HIERRO DE 4"</t>
  </si>
  <si>
    <t>CODOS DE 4" X 45 HN</t>
  </si>
  <si>
    <t>CODOS DE 4" X 90 HN</t>
  </si>
  <si>
    <t>CODOS DE 3" X 90 HN</t>
  </si>
  <si>
    <t>T DE 3" HN</t>
  </si>
  <si>
    <t>VALVULA DESAGUE DE BOLA DE 2" CON SU NIPLE</t>
  </si>
  <si>
    <t xml:space="preserve">VALVULA VENTOSA DE 3/4" ROSCADA </t>
  </si>
  <si>
    <t xml:space="preserve">VALVULA VENTOSA DE TRIPLE FUNCION DE 3/4" ROSCADA </t>
  </si>
  <si>
    <t xml:space="preserve">VÁLVULAS COMPUERTAS  DE 4'' PLATILLADA, (COMPLETA) </t>
  </si>
  <si>
    <t xml:space="preserve">VÁLVULAS COMPUERTAS  DE 3'' PLATILLADA, (COMPLETA) </t>
  </si>
  <si>
    <t>REGISTRO 2.00 M X 2.00 M</t>
  </si>
  <si>
    <t xml:space="preserve">LIMPIEZA GENERAL E INTERIOR DEL TANQUE </t>
  </si>
  <si>
    <t>LIMPIEZA DEL TANQUE</t>
  </si>
  <si>
    <t>LINEA DE IMPULSION A TANQUE PUNTA RUCIA Y REHABILITACION DEL TANQUE</t>
  </si>
  <si>
    <t>TUBERIA DE 6" SCH 40 C/J DE GOMA + 5% POR CAMP.</t>
  </si>
  <si>
    <t>PRUEBAS HIDROSTATICAS PARA TUBERIA DE 6"</t>
  </si>
  <si>
    <t>CRUCES EN TUBERIA DE HIERRO DE 6"</t>
  </si>
  <si>
    <t>TE DE 6" A 2" HN</t>
  </si>
  <si>
    <t>CODOS DE 6" X 45 HN</t>
  </si>
  <si>
    <t>CODOS DE 6" X 90 HN</t>
  </si>
  <si>
    <t xml:space="preserve">VALVULA VENTOSA DE TRIPLE FUNCION DE 1" ROSCADA </t>
  </si>
  <si>
    <t>VÁLVULAS COMPUERTAS PLATILLADAS DE 6'' (COMPLETA )</t>
  </si>
  <si>
    <t>REGISTRO 0.70 M X 0.70 M</t>
  </si>
  <si>
    <t>TANQUE NUEVO DE HORMIGON DE 130 MIL GAL</t>
  </si>
  <si>
    <t>MOVIMIENTO DE TIERRA</t>
  </si>
  <si>
    <t>BOTE DE MATERIAL SOBRANTE</t>
  </si>
  <si>
    <t>ZAPATA DE COLUMNAS</t>
  </si>
  <si>
    <t>DESAGUE DE 6"</t>
  </si>
  <si>
    <t>PAÑETE EXTERIOR</t>
  </si>
  <si>
    <t xml:space="preserve">TAPA DEL DEPÓSITO </t>
  </si>
  <si>
    <t>RED DE DISTRIBUCION A LA PLAYA (ESTERO HONDO)</t>
  </si>
  <si>
    <t>REPLANTEO (CON TOPOGRAFO) TRAMO DE 2"</t>
  </si>
  <si>
    <t>LINEA DE 4"</t>
  </si>
  <si>
    <t>EXCAVACION CON EQUIPO LINEA DE 4"</t>
  </si>
  <si>
    <t>LINEA DE 2"</t>
  </si>
  <si>
    <t>EXCAVACION CON EQUIPO LINEA DE 2"</t>
  </si>
  <si>
    <t>TUBERIA DE 4" SCH 40 C/J DE GOMA + 5% POR CAMP.</t>
  </si>
  <si>
    <t>TUBERIA DE 2" SCH 40 C/J DE GOMA + 5% POR CAMP.</t>
  </si>
  <si>
    <t>PRUEBAS HIDROSTATICAS PARA TUBERIA DE 2"</t>
  </si>
  <si>
    <t>T DE 4" A 2" HN</t>
  </si>
  <si>
    <t>T DE 6" A 2" HN</t>
  </si>
  <si>
    <t>REDUCCION DE 6" A 4" HN</t>
  </si>
  <si>
    <t>CODO DE 12 GRADOS DE 6" HN</t>
  </si>
  <si>
    <t>ACOMETIDAS:</t>
  </si>
  <si>
    <t>VALVULA COMPUERTA DE 2" PLATILLADA (COMPLETA)</t>
  </si>
  <si>
    <t>REGISTRO</t>
  </si>
  <si>
    <t>RED DE DISTRIBUCION LOS PROYECTOS</t>
  </si>
  <si>
    <t>TUBERIA DE 3” PVC-SCH 40 + 5% POR CAMP.</t>
  </si>
  <si>
    <t>PRUEBAS HIDROSTATICAS PARA TUBERIA DE 3"</t>
  </si>
  <si>
    <t>CRUCES EN TUBERIA DE HIERRO DE 3"</t>
  </si>
  <si>
    <t xml:space="preserve">VÁLVULAS COMPUERTAS DE  3'' PLATILLADA (COMPLETA) </t>
  </si>
  <si>
    <t xml:space="preserve">REGISTRO 0.70 M X 0.70 M </t>
  </si>
  <si>
    <t>TE DE 3" HN</t>
  </si>
  <si>
    <t>CODO DE 90 DE 3" HN</t>
  </si>
  <si>
    <t>RED DE DISTRIBUCION A LA COMUNIDAD TIBURCIO</t>
  </si>
  <si>
    <t>TUBERIA DE POLIETILENO DE 1"</t>
  </si>
  <si>
    <t>CODO DE 45 DE 3" HN</t>
  </si>
  <si>
    <t xml:space="preserve">SUB-TOTAL  GENERAL  </t>
  </si>
  <si>
    <t>Pág. 09/09</t>
  </si>
  <si>
    <t>SEPTIEMBRE 5 ,2024</t>
  </si>
  <si>
    <t>SUB-TOTAL GASTOS DIRECTOS</t>
  </si>
  <si>
    <t>TOTAL GENERAL PRESUPUESTADO</t>
  </si>
  <si>
    <t>IMPREVISTOS ( SOLO JUSTIFICABLES CON CUBICACION)</t>
  </si>
  <si>
    <t xml:space="preserve">DISEÑO Y ENTREGA A EDENORTE </t>
  </si>
  <si>
    <t>DERECHO INTERCONEXION A EDENORTE</t>
  </si>
  <si>
    <t>ESTUDIOS, DISEÑO Y PLANOS</t>
  </si>
  <si>
    <t>SUPERVISION</t>
  </si>
  <si>
    <t>TOTAL GENERAL</t>
  </si>
  <si>
    <t>CARLOS EDUARDO GABRIEL RAMIREZ</t>
  </si>
  <si>
    <t xml:space="preserve">                               REVISADO POR:</t>
  </si>
  <si>
    <t xml:space="preserve">       JUAN RAMON MOORE CHECO</t>
  </si>
  <si>
    <t xml:space="preserve">                    OLIVER JOSE NAZARIO BRUGAL</t>
  </si>
  <si>
    <t xml:space="preserve">                                 DIRECTOR GENERAL</t>
  </si>
  <si>
    <t>Pag 1/2</t>
  </si>
  <si>
    <t xml:space="preserve">CONSTRUCCIÓN DEL EDIFICIO GENERAL DE OPERACIÓN DE CORAAPPLATA, SAN
FELIPE DE PUERTO PLATA. PROVINCIA DE PUERTO PLATA”
</t>
  </si>
  <si>
    <t>RD$ 61,897.862.59</t>
  </si>
  <si>
    <t>001/2022</t>
  </si>
  <si>
    <t>MARIO JOSE HURTADO IMBERT</t>
  </si>
  <si>
    <t>TRABAJOS PRELIMINARES</t>
  </si>
  <si>
    <t>Desbroce de terreno y capa vegetal 0.20m</t>
  </si>
  <si>
    <t>Charrancha y replanteo</t>
  </si>
  <si>
    <t>Fumigación general</t>
  </si>
  <si>
    <t>Verja perimetral (proteccion de obra)</t>
  </si>
  <si>
    <t>MOVIMIENTOS DE TIERRA</t>
  </si>
  <si>
    <t>Excavaciones de fundaciones (Corte y nivelacion de terreno)</t>
  </si>
  <si>
    <t>Carga y bote de material sobrante excav.</t>
  </si>
  <si>
    <t>M3E</t>
  </si>
  <si>
    <t>Relleno de reposición en fundaciones</t>
  </si>
  <si>
    <t>M3C</t>
  </si>
  <si>
    <t>HORMIGON ARMADO</t>
  </si>
  <si>
    <t>Zapata de muro de 0.30 m</t>
  </si>
  <si>
    <t>SOTANO</t>
  </si>
  <si>
    <t>Columnas 45x45</t>
  </si>
  <si>
    <t>Muros de 0.30 m</t>
  </si>
  <si>
    <t>Muros de 0.20 m</t>
  </si>
  <si>
    <t>Vigas 25x45</t>
  </si>
  <si>
    <t>Rampa de Escalera</t>
  </si>
  <si>
    <t>Losa de cimentacion 30 cm</t>
  </si>
  <si>
    <t>Losa aligerada de techo</t>
  </si>
  <si>
    <t>MAMPOSTERIA</t>
  </si>
  <si>
    <t>Muros de 6" con bastones 3/8"@0.60m</t>
  </si>
  <si>
    <t>TERMINACIONES DE SUPERFICIE</t>
  </si>
  <si>
    <t>Fraguache en elementos H.A.</t>
  </si>
  <si>
    <t>Empañete de mezcla maestreado en paredes interiores</t>
  </si>
  <si>
    <t>Cantos y mochetas</t>
  </si>
  <si>
    <t>REVESTIMIENTOS</t>
  </si>
  <si>
    <t>Ceramica en paredes baños</t>
  </si>
  <si>
    <t>Ceramica en paredes cocinas</t>
  </si>
  <si>
    <t>Cristal templado en paredes exterior</t>
  </si>
  <si>
    <t>P2</t>
  </si>
  <si>
    <t>Cristal templado en paredes de division interior</t>
  </si>
  <si>
    <t>Paredes En Sheetrock</t>
  </si>
  <si>
    <t>Plafon techos de baños</t>
  </si>
  <si>
    <t>PISOS</t>
  </si>
  <si>
    <t>Piso en Ceramica Europea Economica</t>
  </si>
  <si>
    <t>Zocalos en Ceramica Europea Economica</t>
  </si>
  <si>
    <t>Piso cerámica en baño</t>
  </si>
  <si>
    <t>PUERTAS</t>
  </si>
  <si>
    <t>Puerta entrada doble hoja 2.1 mt flotante de cristal</t>
  </si>
  <si>
    <t>Puertas interiores 1 mt</t>
  </si>
  <si>
    <t>Puertas flotantes en Cristal templado</t>
  </si>
  <si>
    <t>VENTANAS</t>
  </si>
  <si>
    <t>Ventana proyectada aluminio y vidrio Perfiles P40</t>
  </si>
  <si>
    <t>Escalon granito gris</t>
  </si>
  <si>
    <t>Descansos en Ceramica Europea Economica</t>
  </si>
  <si>
    <t>PINTURA</t>
  </si>
  <si>
    <t>Pintura Acrilica interior en parede y techos</t>
  </si>
  <si>
    <t>INSTALACIONES SANITARIAS</t>
  </si>
  <si>
    <t>Baños</t>
  </si>
  <si>
    <t>Tope en malmolite</t>
  </si>
  <si>
    <t>Inodoro  + Salidas</t>
  </si>
  <si>
    <t>Lavamanos  + Salidas</t>
  </si>
  <si>
    <t>Desague De Piso 2" Parrilla</t>
  </si>
  <si>
    <t>Orinal Pequeño + Salidas Ap Y An</t>
  </si>
  <si>
    <t>Camara De Inspeccion 0.70x0.70x0.70 Caliche</t>
  </si>
  <si>
    <t>Miscelanios, espejos y diviciones</t>
  </si>
  <si>
    <t>Cocina</t>
  </si>
  <si>
    <t>Gabinetes de piso y pared MDF</t>
  </si>
  <si>
    <t>Fregadero Acero Inox. Sencillo + Salidas</t>
  </si>
  <si>
    <t>Trampa De Grasa 1.00x1.00x1.00 Caliche</t>
  </si>
  <si>
    <t>INSTALACIONES ELECTRICAS</t>
  </si>
  <si>
    <t>Luz Cenital</t>
  </si>
  <si>
    <t>Interruptor Sencillo</t>
  </si>
  <si>
    <t>Interruptor Doble</t>
  </si>
  <si>
    <t>Interruptor Triple</t>
  </si>
  <si>
    <t>Interruptor Tres Vias</t>
  </si>
  <si>
    <t>Tomacorriente Doble 110v</t>
  </si>
  <si>
    <t>Tomacorriente Sencillo 220v</t>
  </si>
  <si>
    <t>Salida Telefono DATA</t>
  </si>
  <si>
    <t>Panel Distribucion 24 Espacios</t>
  </si>
  <si>
    <t>NIVEL N1</t>
  </si>
  <si>
    <t>Bajante y ventilación</t>
  </si>
  <si>
    <t>NIVEL N2</t>
  </si>
  <si>
    <t>NIVEL N3</t>
  </si>
  <si>
    <t>EXTERIORES, TERMINACIONES DE TECHO Y
MISCELANEOS</t>
  </si>
  <si>
    <t>TERMINACIONES DE TECHO</t>
  </si>
  <si>
    <t>Fino de techo plano</t>
  </si>
  <si>
    <t>Zabaletas de techo</t>
  </si>
  <si>
    <t>Impermeabilizante</t>
  </si>
  <si>
    <t>Pintura Acrilica exterior</t>
  </si>
  <si>
    <t>SUBIDA DE MATERIALES</t>
  </si>
  <si>
    <t>Subida de materiales a Nivel 1</t>
  </si>
  <si>
    <t>Subida de materiales a Nivel 2</t>
  </si>
  <si>
    <t>Subida de materiales a Nivel 3</t>
  </si>
  <si>
    <t>Ascensoror</t>
  </si>
  <si>
    <t>Barandas en acero</t>
  </si>
  <si>
    <t>Fachada exterior (logo, cubre Sol y elementos no
estructurales)</t>
  </si>
  <si>
    <t>SUBTOTAL MISCELANEO</t>
  </si>
  <si>
    <t>SUBTOTAL GENERAL DE PRESUPUESTO</t>
  </si>
  <si>
    <t xml:space="preserve">EQUILIBRIO ECONOMICO </t>
  </si>
  <si>
    <t>EQUILIBRIO ECONOMICO DE PARTIDAS PAGADAS EN DESEQUILIBRIO ECONOMICO EN CUBICACION #01 - d/f 03/04/2023</t>
  </si>
  <si>
    <t xml:space="preserve">Fumigación general </t>
  </si>
  <si>
    <t xml:space="preserve">Muros de 0.20 m </t>
  </si>
  <si>
    <t>EQUILIBRIO ECONOMICO DE PARTIDAS PAGADAS EN DESEQUILIBRIO ECONOMICO EN CUBICACION #02 d/f 03/04/2023</t>
  </si>
  <si>
    <t>10.01.2</t>
  </si>
  <si>
    <t>10.01.3</t>
  </si>
  <si>
    <t>10.01.4</t>
  </si>
  <si>
    <t xml:space="preserve">Desague De Piso 2" Parrilla </t>
  </si>
  <si>
    <t>EQUILIBRIO ECONOMICO DE PARTIDAS PAGADAS EN DESEQUILIBRIO ECONOMICO EN CUBICACION #03 d/f 0/0/2023</t>
  </si>
  <si>
    <t xml:space="preserve">REVESTIMIENTOS </t>
  </si>
  <si>
    <t xml:space="preserve">Ceramica en paredes baños </t>
  </si>
  <si>
    <t xml:space="preserve">Piso cerámica en baño </t>
  </si>
  <si>
    <t xml:space="preserve">Puertas interiores 1 mt </t>
  </si>
  <si>
    <t xml:space="preserve">Puertas flotantes en Cristal templado </t>
  </si>
  <si>
    <t>10.01.5</t>
  </si>
  <si>
    <t>10.01.6</t>
  </si>
  <si>
    <t>10.02.1</t>
  </si>
  <si>
    <t>10.02.2</t>
  </si>
  <si>
    <t>10.02.3</t>
  </si>
  <si>
    <t>10.02.4</t>
  </si>
  <si>
    <t>10.02.5</t>
  </si>
  <si>
    <t>10.01.1</t>
  </si>
  <si>
    <t xml:space="preserve">Bajante y ventilación </t>
  </si>
  <si>
    <t>10.01.07</t>
  </si>
  <si>
    <t>EQUILIBRIO ECONOMICO DE PARTIDAS PENDIENTES POR PAGAR</t>
  </si>
  <si>
    <t xml:space="preserve">PINTURA </t>
  </si>
  <si>
    <t>UNID</t>
  </si>
  <si>
    <t>10.01.7</t>
  </si>
  <si>
    <t>EXTERIORES, TERMINACIONES DE TECHO Y MISCELANEOS</t>
  </si>
  <si>
    <t xml:space="preserve">Impermeabilizante </t>
  </si>
  <si>
    <t xml:space="preserve">Ascensoror </t>
  </si>
  <si>
    <t xml:space="preserve">Barandas en acero </t>
  </si>
  <si>
    <t>Fachada exterior (logo, cubre Sol y elementos no estructurales)</t>
  </si>
  <si>
    <t xml:space="preserve">ADICIONALES POR AUMENTO DE VOLUMEN/PARTIDA NUEVA </t>
  </si>
  <si>
    <t xml:space="preserve">PARTIDAS </t>
  </si>
  <si>
    <t>P.U. RD$</t>
  </si>
  <si>
    <t xml:space="preserve">SOTANO </t>
  </si>
  <si>
    <t>Hormigon armado</t>
  </si>
  <si>
    <t xml:space="preserve">hormigon de limpieza </t>
  </si>
  <si>
    <t xml:space="preserve">Preliminares </t>
  </si>
  <si>
    <t xml:space="preserve">letrero de obra 4x8 pies </t>
  </si>
  <si>
    <t xml:space="preserve">caseta de materiales </t>
  </si>
  <si>
    <t xml:space="preserve">Baños provisionales </t>
  </si>
  <si>
    <t>carga y bote material de desbroce</t>
  </si>
  <si>
    <t>Movimiento de tierra</t>
  </si>
  <si>
    <t xml:space="preserve">Excavacion (corte y nivelacion terreno) con equipo </t>
  </si>
  <si>
    <t>Carga y bote material sobrante excavacion con equipo</t>
  </si>
  <si>
    <t>Suministro y colocacion de relleno</t>
  </si>
  <si>
    <t>Fosa ascensor ejecutivo</t>
  </si>
  <si>
    <t xml:space="preserve">Platea fosa </t>
  </si>
  <si>
    <t xml:space="preserve">Muro de hormigon de 30 cm </t>
  </si>
  <si>
    <t>Fosa ascensor Panoramico</t>
  </si>
  <si>
    <t xml:space="preserve">Muro de hormigon de 25 cm </t>
  </si>
  <si>
    <t xml:space="preserve">Diseño de planos, estudios generales y control de calidad </t>
  </si>
  <si>
    <t>Rediseño y modificaciones de planos</t>
  </si>
  <si>
    <t>Estudio de suelo</t>
  </si>
  <si>
    <t>Control de calidad proyecto( Incluye proctor, analisis del hormigon )</t>
  </si>
  <si>
    <t xml:space="preserve">SUBTOTAL GENERAL DE ADICIONALES 1 </t>
  </si>
  <si>
    <t xml:space="preserve">EQUILIBRIO DE ADICIONALES POR AUMENTO DE VOLUMEN/PARTIDA NUEVA </t>
  </si>
  <si>
    <t xml:space="preserve">SUB-TOTAL GENERAL MAS ADICIONALES POR PARTIDAS NUEVAS Y AUMENTO DE VOLUMEN </t>
  </si>
  <si>
    <t>IMPREVISTOS</t>
  </si>
  <si>
    <t xml:space="preserve">MARIO JOSE HURTADO IMBERT </t>
  </si>
  <si>
    <t xml:space="preserve">                                                              OLIVER JOSE NAZARIO BRUGAL</t>
  </si>
  <si>
    <t xml:space="preserve">CONTRATISTA </t>
  </si>
  <si>
    <t xml:space="preserve">                                                             DIRECTOR GENERAL</t>
  </si>
  <si>
    <t>AMPLIACION AGUA RESIDUALES CAMINO LOS LLIBRE, SOSUA</t>
  </si>
  <si>
    <t>RD$12,094,531.73</t>
  </si>
  <si>
    <t>008/2022</t>
  </si>
  <si>
    <t>QUACON, S.R.L</t>
  </si>
  <si>
    <t>RED DE ALCANTARILLADO SANITARIO</t>
  </si>
  <si>
    <t>MANEJO DEL TRNASITO</t>
  </si>
  <si>
    <t xml:space="preserve">SUMINISTRO Y COLOCACION DE </t>
  </si>
  <si>
    <t>TUBERIA PVC-SDR 26 12" +5% POR CAMP</t>
  </si>
  <si>
    <t>SUBTOTAL SUMINISTRO Y COLOC</t>
  </si>
  <si>
    <t>ASFALTO-TODO COSTO</t>
  </si>
  <si>
    <t>CORTE DE ASFALTO CON MAQUINA (E=4") AMBOS LADOS</t>
  </si>
  <si>
    <t>SUMINISTRO DE HORMIGON EN CALIENTE EN PLANTA</t>
  </si>
  <si>
    <t>COLOCACION CARPETA ASFALTICA EN CALIENTE -TODO COSTO 4 PULG</t>
  </si>
  <si>
    <t>CONFECCION REGISTROS 1@2 MTS CADA 100 ML</t>
  </si>
  <si>
    <t>REGISTRO FABRICADOS A MANO</t>
  </si>
  <si>
    <t>SUBTOTAL CONFECCION</t>
  </si>
  <si>
    <t>EMPALME A RED PRINCIPAL EN CARRETERA PUERTO PLATA/SOSUA</t>
  </si>
  <si>
    <t>PICADO DE CALLE, CONEXIÓN A REGISTRO, ADECUACION Y REHABILITACION DE REGISTRO Y CALLE</t>
  </si>
  <si>
    <t>EXCAVACION NO CLASIFICADA</t>
  </si>
  <si>
    <t>ASIENTO DE GRAVA DE 10 CM</t>
  </si>
  <si>
    <t xml:space="preserve">AMPLIACION AGUA RESIDUALES CAMINO LOS LLIBRE, SOSUA
</t>
  </si>
  <si>
    <t xml:space="preserve">SUB-TOTAL GENERAL PRESUPUESTO </t>
  </si>
  <si>
    <t>LUIS TOMAS MATA MARTÍNEZ</t>
  </si>
  <si>
    <t xml:space="preserve"> OLIVER JOSE NAZARIO BRUGAL</t>
  </si>
  <si>
    <t>CONSTRUCCION DE COLECTOR DE AGUAS RESIDUALES EN LA CAÑADA DEL MIRADOR SUR</t>
  </si>
  <si>
    <t>SEPTIEMBRE 12, 2024</t>
  </si>
  <si>
    <t>005/2021</t>
  </si>
  <si>
    <t>CONSTRUCTORA DE LA CRUZ ROCHTTIS SRL</t>
  </si>
  <si>
    <t xml:space="preserve">RED DE ALCANTARILLADO </t>
  </si>
  <si>
    <t>REPLANTEO ( CON TOPOGRAFO)</t>
  </si>
  <si>
    <t>SUBTOTAL RED DE ALCANTARILLADO</t>
  </si>
  <si>
    <t>TUBERIA DE 8"X 20¨DE ACERO 3/8 ESP.</t>
  </si>
  <si>
    <t>TUBERIA DE 12"X 20¨DE ACERO 3/8 ESP.</t>
  </si>
  <si>
    <t>PINTURA EPOXICA TUBERIA DE 8 ACERO</t>
  </si>
  <si>
    <t>PINTURA EPOXICA TUBERIA DE 12 ACERO</t>
  </si>
  <si>
    <t>CONST. DE ANCLAJE EN LINEA COLECTORA C 15MTS</t>
  </si>
  <si>
    <t>CONST. DE ANCLAJE EN EMPALMES Y PIEZAS ESPECIALES</t>
  </si>
  <si>
    <t>CRUCE DE ALCANTARILLAS</t>
  </si>
  <si>
    <t>TAPON REGISTRO DE 4</t>
  </si>
  <si>
    <t>PINTURA OXIDO ROJO TUBERIA DE  12 ACERO</t>
  </si>
  <si>
    <t xml:space="preserve">PINTURA OXIDO ROJO PARA TUBERIA DE 8" </t>
  </si>
  <si>
    <t>SUBTOTAL SUMINISTRO Y COLOCACION</t>
  </si>
  <si>
    <t>CONFECCION DE REGISTROS 1@2 MTS:  UNIDADES</t>
  </si>
  <si>
    <t>REGISTRO FABRICADO A MANO</t>
  </si>
  <si>
    <t xml:space="preserve">REGISTROS EN HIERRO NEGRO DE 20"   </t>
  </si>
  <si>
    <t>SUBTOTAL CONFECCION DE REGISTRO</t>
  </si>
  <si>
    <t>EMPALME A RED PRINCIPAL DE LA MANOLO TAVAREZ JUSTO</t>
  </si>
  <si>
    <t>PICADO DE CALLE, CONEXION A REGISTRO, ADECUACION Y REHABILITACION DE REGISTROS Y CALLE</t>
  </si>
  <si>
    <t>EXCAVACION NO CALIFICADA</t>
  </si>
  <si>
    <t>RELLENO COMPACTADO DE REPOSICION (40% DE EXCAVACION)</t>
  </si>
  <si>
    <t>SUBTOTAL  EMPALME A RED PRINCIPAL</t>
  </si>
  <si>
    <t>EMPALME A RED PRINCIPAL EN CALLE VISTA ALEGRE</t>
  </si>
  <si>
    <t xml:space="preserve">RELLENO COMPACTADO DE REPOSICION </t>
  </si>
  <si>
    <t>SUBTOTAL EMPALME A RED CALLE VISTA ALEGRE</t>
  </si>
  <si>
    <t>ACOMETIDAS</t>
  </si>
  <si>
    <t>CONEXIÓN DE ACOMETIDAS</t>
  </si>
  <si>
    <t xml:space="preserve">TUBERIA LINEA RECOLECTORA </t>
  </si>
  <si>
    <t>SUBTOTAL ACOMETIDAS</t>
  </si>
  <si>
    <t xml:space="preserve">PARTIDA PAGADA EN LA CUBICACION 1 Y NO REALIZADA  </t>
  </si>
  <si>
    <t xml:space="preserve">SUPERVISION </t>
  </si>
  <si>
    <t>ESTUDIO DISEÑO Y PLANOS</t>
  </si>
  <si>
    <t>JOSE HERIBERTO DE LA CRUZ ROCHTTIS</t>
  </si>
  <si>
    <t xml:space="preserve">    OLIVER JOSE NAZARIO BRUGAL</t>
  </si>
  <si>
    <t xml:space="preserve">  DIRECTOR GENERAL</t>
  </si>
  <si>
    <t xml:space="preserve">CORPORACION DE ACUEDUCTOS Y ALCANTARILLADOS DE PUERTO PLATA </t>
  </si>
  <si>
    <t>(CORAAPPLATA)</t>
  </si>
  <si>
    <t xml:space="preserve">Nota:  </t>
  </si>
  <si>
    <t>CORRESPONDIENTE TRIMESTRE JULIO - SEPTIEMBRE DEL AÑO 2024</t>
  </si>
  <si>
    <t>MES  DE  SEPTIEMBRE</t>
  </si>
  <si>
    <t>MES  DE  JULIO</t>
  </si>
  <si>
    <t>Informes de presupuesto sobre programas y proyectos</t>
  </si>
  <si>
    <t>CORRESPONDIENTE AL TRIMESTRE JULIO - SEPTIEMBRE DEL AÑO 2024</t>
  </si>
  <si>
    <r>
      <t xml:space="preserve">En esta Institución no hubieron Presupuestos de Programas y Proyectos en el periodo del 1 al 30 de </t>
    </r>
    <r>
      <rPr>
        <b/>
        <sz val="14"/>
        <color rgb="FF000000"/>
        <rFont val="Aptos Narrow"/>
        <family val="2"/>
        <scheme val="minor"/>
      </rPr>
      <t>Agosto</t>
    </r>
    <r>
      <rPr>
        <sz val="14"/>
        <color rgb="FF000000"/>
        <rFont val="Aptos Narrow"/>
        <family val="2"/>
        <scheme val="minor"/>
      </rPr>
      <t xml:space="preserve"> 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</si>
</sst>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RD$&quot;#,##0.00_);[Red]\(&quot;RD$&quot;#,##0.00\)"/>
    <numFmt numFmtId="167" formatCode="_(* #,##0.00000000_);_(* \(#,##0.00000000\);_(* &quot;-&quot;????????_);_(@_)"/>
    <numFmt numFmtId="168" formatCode="#,##0.00000_);\(#,##0.00000\)"/>
    <numFmt numFmtId="169" formatCode="#,##0.000"/>
    <numFmt numFmtId="170" formatCode="#,##0.0000"/>
    <numFmt numFmtId="171" formatCode="0.000"/>
    <numFmt numFmtId="172" formatCode="#,##0.00000"/>
    <numFmt numFmtId="173" formatCode="#,##0.0000_);\(#,##0.0000\)"/>
    <numFmt numFmtId="174" formatCode="#,##0.000_);\(#,##0.000\)"/>
    <numFmt numFmtId="175" formatCode="_(* #,##0_);_(* \(#,##0\);_(* &quot;-&quot;??_);_(@_)"/>
    <numFmt numFmtId="176" formatCode="#,##0.00000000"/>
    <numFmt numFmtId="177" formatCode="#,##0.000000"/>
    <numFmt numFmtId="178" formatCode="&quot;RD$&quot;#,##0.00"/>
    <numFmt numFmtId="179" formatCode="&quot;$&quot;#,##0.00"/>
    <numFmt numFmtId="180" formatCode="0.0%"/>
    <numFmt numFmtId="181" formatCode="_(&quot;RD$&quot;* #,##0.00_);_(&quot;RD$&quot;* \(#,##0.00\);_(&quot;RD$&quot;* &quot;-&quot;??_);_(@_)"/>
    <numFmt numFmtId="182" formatCode="_(* #,##0.0000_);_(* \(#,##0.0000\);_(* &quot;-&quot;??_);_(@_)"/>
    <numFmt numFmtId="183" formatCode="_(* #,##0.000_);_(* \(#,##0.000\);_(* &quot;-&quot;??_);_(@_)"/>
    <numFmt numFmtId="184" formatCode="_(* #,##0.000000_);_(* \(#,##0.000000\);_(* &quot;-&quot;??_);_(@_)"/>
    <numFmt numFmtId="185" formatCode="_(* #,##0.00000_);_(* \(#,##0.00000\);_(* &quot;-&quot;??_);_(@_)"/>
    <numFmt numFmtId="186" formatCode="&quot;RD$&quot;#,##0.00_);\(&quot;RD$&quot;#,##0.00\)"/>
    <numFmt numFmtId="187" formatCode="0.0"/>
    <numFmt numFmtId="188" formatCode="#,##0.000_);[Red]\(#,##0.000\)"/>
    <numFmt numFmtId="189" formatCode="&quot;RD$&quot;#,##0.0000_);[Red]\(&quot;RD$&quot;#,##0.0000\)"/>
    <numFmt numFmtId="190" formatCode="&quot;RD$&quot;#,##0.0_);[Red]\(&quot;RD$&quot;#,##0.0\)"/>
    <numFmt numFmtId="191" formatCode="&quot;RD$&quot;#,##0.000_);[Red]\(&quot;RD$&quot;#,##0.000\)"/>
    <numFmt numFmtId="192" formatCode="&quot;RD$&quot;#,##0_);[Red]\(&quot;RD$&quot;#,##0\)"/>
    <numFmt numFmtId="193" formatCode="#,##0.0000000"/>
    <numFmt numFmtId="194" formatCode="#,##0.000000000"/>
    <numFmt numFmtId="195" formatCode="[$-F800]dddd\,\ mmmm\ dd\,\ yyyy"/>
    <numFmt numFmtId="196" formatCode="0.0000"/>
    <numFmt numFmtId="197" formatCode="_-* #,##0.00\ &quot;€&quot;_-;\-* #,##0.00\ &quot;€&quot;_-;_-* &quot;-&quot;??\ &quot;€&quot;_-;_-@_-"/>
    <numFmt numFmtId="198" formatCode="_-[$RD$-1C0A]* #,##0.00_ ;_-[$RD$-1C0A]* \-#,##0.00\ ;_-[$RD$-1C0A]* &quot;-&quot;??_ ;_-@_ "/>
    <numFmt numFmtId="199" formatCode="0.00_);[Red]\(0.00\)"/>
    <numFmt numFmtId="200" formatCode="#,##0.000000_);[Red]\(#,##0.000000\)"/>
    <numFmt numFmtId="201" formatCode="&quot;RD$&quot;#,##0.000"/>
    <numFmt numFmtId="202" formatCode="&quot;$&quot;#,##0.000"/>
    <numFmt numFmtId="203" formatCode="#,##0.0000000000"/>
    <numFmt numFmtId="204" formatCode="&quot;RD$&quot;#,##0.000_);\(&quot;RD$&quot;#,##0.000\)"/>
    <numFmt numFmtId="205" formatCode="0.00000"/>
    <numFmt numFmtId="206" formatCode="#,##0.00\ _€;[Red]#,##0.00\ _€"/>
  </numFmts>
  <fonts count="6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Times New Roman"/>
      <family val="1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theme="9" tint="-0.499984740745262"/>
      <name val="Times New Roman"/>
      <family val="1"/>
    </font>
    <font>
      <b/>
      <sz val="8"/>
      <color theme="9" tint="-0.499984740745262"/>
      <name val="Times New Roman"/>
      <family val="1"/>
    </font>
    <font>
      <b/>
      <sz val="9"/>
      <color rgb="FFFF0000"/>
      <name val="Times New Roman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b/>
      <sz val="12"/>
      <color theme="1"/>
      <name val="Times New Roman"/>
      <family val="1"/>
    </font>
    <font>
      <b/>
      <u/>
      <sz val="9"/>
      <name val="Times New Roman"/>
      <family val="1"/>
    </font>
    <font>
      <b/>
      <sz val="9"/>
      <color rgb="FF3F3F3F"/>
      <name val="Times New Roman"/>
      <family val="1"/>
    </font>
    <font>
      <sz val="9"/>
      <color rgb="FF3F3F3F"/>
      <name val="Times New Roman"/>
      <family val="1"/>
    </font>
    <font>
      <sz val="10"/>
      <name val="MS Sans Serif"/>
    </font>
    <font>
      <sz val="9"/>
      <color rgb="FFFF0000"/>
      <name val="Times New Roman"/>
      <family val="1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u/>
      <sz val="9"/>
      <color theme="1"/>
      <name val="Times New Roman"/>
      <family val="1"/>
    </font>
    <font>
      <sz val="7.5"/>
      <name val="Arial"/>
      <family val="2"/>
    </font>
    <font>
      <b/>
      <u/>
      <sz val="9"/>
      <color theme="9" tint="-0.499984740745262"/>
      <name val="Times New Roman"/>
      <family val="1"/>
    </font>
    <font>
      <b/>
      <sz val="18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name val="Times New Roman"/>
      <family val="1"/>
    </font>
    <font>
      <sz val="12"/>
      <name val="Adobe Garamond Pro"/>
      <family val="1"/>
    </font>
    <font>
      <b/>
      <sz val="11"/>
      <name val="Times New Roman"/>
      <family val="1"/>
    </font>
    <font>
      <sz val="12"/>
      <color theme="0"/>
      <name val="Times New Roman"/>
      <family val="1"/>
    </font>
    <font>
      <sz val="10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2"/>
      <color theme="1"/>
      <name val="Aptos ExtraBold"/>
      <family val="2"/>
    </font>
    <font>
      <b/>
      <sz val="14"/>
      <color rgb="FF00000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2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3" fillId="0" borderId="0"/>
    <xf numFmtId="0" fontId="13" fillId="0" borderId="0"/>
    <xf numFmtId="43" fontId="26" fillId="0" borderId="0" applyFont="0" applyFill="0" applyBorder="0" applyAlignment="0" applyProtection="0"/>
    <xf numFmtId="0" fontId="13" fillId="0" borderId="0"/>
    <xf numFmtId="165" fontId="26" fillId="0" borderId="0" applyFont="0" applyFill="0" applyBorder="0" applyAlignment="0" applyProtection="0"/>
    <xf numFmtId="0" fontId="32" fillId="0" borderId="0"/>
    <xf numFmtId="0" fontId="26" fillId="0" borderId="0"/>
    <xf numFmtId="0" fontId="26" fillId="0" borderId="0"/>
    <xf numFmtId="197" fontId="1" fillId="0" borderId="0" applyFont="0" applyFill="0" applyBorder="0" applyAlignment="0" applyProtection="0"/>
    <xf numFmtId="0" fontId="1" fillId="18" borderId="0" applyNumberFormat="0" applyBorder="0" applyAlignment="0" applyProtection="0"/>
    <xf numFmtId="43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</cellStyleXfs>
  <cellXfs count="1152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167" fontId="7" fillId="0" borderId="0" xfId="0" applyNumberFormat="1" applyFont="1"/>
    <xf numFmtId="0" fontId="8" fillId="0" borderId="0" xfId="0" applyFont="1" applyAlignment="1">
      <alignment horizontal="left"/>
    </xf>
    <xf numFmtId="17" fontId="5" fillId="0" borderId="0" xfId="0" applyNumberFormat="1" applyFont="1" applyAlignment="1">
      <alignment horizontal="right"/>
    </xf>
    <xf numFmtId="168" fontId="7" fillId="0" borderId="0" xfId="0" applyNumberFormat="1" applyFont="1"/>
    <xf numFmtId="14" fontId="5" fillId="0" borderId="0" xfId="0" applyNumberFormat="1" applyFont="1"/>
    <xf numFmtId="0" fontId="5" fillId="5" borderId="3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6" borderId="3" xfId="1" applyFont="1" applyFill="1" applyBorder="1" applyAlignment="1">
      <alignment horizontal="center"/>
    </xf>
    <xf numFmtId="0" fontId="5" fillId="6" borderId="3" xfId="0" applyFont="1" applyFill="1" applyBorder="1" applyAlignment="1">
      <alignment horizontal="left" vertical="top"/>
    </xf>
    <xf numFmtId="0" fontId="5" fillId="6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165" fontId="5" fillId="7" borderId="3" xfId="1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9" fillId="8" borderId="3" xfId="0" applyFont="1" applyFill="1" applyBorder="1"/>
    <xf numFmtId="165" fontId="8" fillId="8" borderId="4" xfId="1" applyFont="1" applyFill="1" applyBorder="1" applyAlignment="1">
      <alignment horizontal="right" vertical="center"/>
    </xf>
    <xf numFmtId="165" fontId="8" fillId="8" borderId="4" xfId="1" applyFont="1" applyFill="1" applyBorder="1" applyAlignment="1">
      <alignment vertical="center"/>
    </xf>
    <xf numFmtId="4" fontId="10" fillId="8" borderId="3" xfId="0" applyNumberFormat="1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1" fillId="8" borderId="3" xfId="0" applyFont="1" applyFill="1" applyBorder="1"/>
    <xf numFmtId="165" fontId="7" fillId="8" borderId="3" xfId="1" applyFont="1" applyFill="1" applyBorder="1" applyAlignment="1">
      <alignment horizontal="right" vertical="center"/>
    </xf>
    <xf numFmtId="165" fontId="7" fillId="8" borderId="3" xfId="1" applyFont="1" applyFill="1" applyBorder="1" applyAlignment="1">
      <alignment vertical="center"/>
    </xf>
    <xf numFmtId="4" fontId="7" fillId="8" borderId="3" xfId="1" applyNumberFormat="1" applyFont="1" applyFill="1" applyBorder="1" applyAlignment="1">
      <alignment vertical="center"/>
    </xf>
    <xf numFmtId="4" fontId="7" fillId="6" borderId="3" xfId="0" applyNumberFormat="1" applyFont="1" applyFill="1" applyBorder="1" applyAlignment="1">
      <alignment horizontal="right"/>
    </xf>
    <xf numFmtId="4" fontId="7" fillId="6" borderId="3" xfId="0" applyNumberFormat="1" applyFont="1" applyFill="1" applyBorder="1" applyAlignment="1">
      <alignment horizontal="center"/>
    </xf>
    <xf numFmtId="2" fontId="7" fillId="6" borderId="3" xfId="0" applyNumberFormat="1" applyFont="1" applyFill="1" applyBorder="1" applyAlignment="1">
      <alignment horizontal="right" vertical="center"/>
    </xf>
    <xf numFmtId="10" fontId="7" fillId="6" borderId="3" xfId="1" applyNumberFormat="1" applyFont="1" applyFill="1" applyBorder="1" applyAlignment="1">
      <alignment vertical="center"/>
    </xf>
    <xf numFmtId="4" fontId="7" fillId="7" borderId="3" xfId="0" applyNumberFormat="1" applyFont="1" applyFill="1" applyBorder="1" applyAlignment="1">
      <alignment horizontal="right"/>
    </xf>
    <xf numFmtId="165" fontId="7" fillId="7" borderId="3" xfId="1" applyFont="1" applyFill="1" applyBorder="1" applyAlignment="1">
      <alignment horizontal="right"/>
    </xf>
    <xf numFmtId="4" fontId="7" fillId="7" borderId="3" xfId="1" applyNumberFormat="1" applyFont="1" applyFill="1" applyBorder="1" applyAlignment="1">
      <alignment horizontal="right"/>
    </xf>
    <xf numFmtId="0" fontId="11" fillId="8" borderId="3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right"/>
    </xf>
    <xf numFmtId="0" fontId="11" fillId="8" borderId="3" xfId="0" applyFont="1" applyFill="1" applyBorder="1" applyAlignment="1">
      <alignment horizontal="right"/>
    </xf>
    <xf numFmtId="4" fontId="11" fillId="8" borderId="3" xfId="0" applyNumberFormat="1" applyFont="1" applyFill="1" applyBorder="1"/>
    <xf numFmtId="0" fontId="5" fillId="8" borderId="3" xfId="0" applyFont="1" applyFill="1" applyBorder="1" applyAlignment="1">
      <alignment horizontal="left" wrapText="1"/>
    </xf>
    <xf numFmtId="4" fontId="12" fillId="8" borderId="3" xfId="0" applyNumberFormat="1" applyFont="1" applyFill="1" applyBorder="1"/>
    <xf numFmtId="0" fontId="5" fillId="6" borderId="3" xfId="0" applyFont="1" applyFill="1" applyBorder="1" applyAlignment="1">
      <alignment horizontal="right"/>
    </xf>
    <xf numFmtId="4" fontId="5" fillId="7" borderId="3" xfId="0" applyNumberFormat="1" applyFont="1" applyFill="1" applyBorder="1" applyAlignment="1">
      <alignment horizontal="right"/>
    </xf>
    <xf numFmtId="4" fontId="5" fillId="7" borderId="3" xfId="1" applyNumberFormat="1" applyFont="1" applyFill="1" applyBorder="1" applyAlignment="1">
      <alignment horizontal="right"/>
    </xf>
    <xf numFmtId="0" fontId="12" fillId="8" borderId="3" xfId="0" applyFont="1" applyFill="1" applyBorder="1" applyAlignment="1">
      <alignment horizontal="center"/>
    </xf>
    <xf numFmtId="0" fontId="12" fillId="8" borderId="3" xfId="0" applyFont="1" applyFill="1" applyBorder="1"/>
    <xf numFmtId="0" fontId="7" fillId="7" borderId="3" xfId="0" applyFont="1" applyFill="1" applyBorder="1" applyAlignment="1">
      <alignment horizontal="right"/>
    </xf>
    <xf numFmtId="169" fontId="11" fillId="8" borderId="3" xfId="0" applyNumberFormat="1" applyFont="1" applyFill="1" applyBorder="1"/>
    <xf numFmtId="0" fontId="7" fillId="6" borderId="3" xfId="0" applyFont="1" applyFill="1" applyBorder="1" applyAlignment="1">
      <alignment horizontal="center"/>
    </xf>
    <xf numFmtId="165" fontId="5" fillId="7" borderId="3" xfId="1" applyFont="1" applyFill="1" applyBorder="1" applyAlignment="1">
      <alignment horizontal="right"/>
    </xf>
    <xf numFmtId="170" fontId="11" fillId="8" borderId="3" xfId="0" applyNumberFormat="1" applyFont="1" applyFill="1" applyBorder="1"/>
    <xf numFmtId="169" fontId="7" fillId="6" borderId="3" xfId="0" applyNumberFormat="1" applyFont="1" applyFill="1" applyBorder="1" applyAlignment="1">
      <alignment horizontal="right"/>
    </xf>
    <xf numFmtId="171" fontId="7" fillId="6" borderId="3" xfId="0" applyNumberFormat="1" applyFont="1" applyFill="1" applyBorder="1" applyAlignment="1">
      <alignment horizontal="right" vertical="center"/>
    </xf>
    <xf numFmtId="172" fontId="11" fillId="8" borderId="3" xfId="0" applyNumberFormat="1" applyFont="1" applyFill="1" applyBorder="1"/>
    <xf numFmtId="0" fontId="0" fillId="8" borderId="3" xfId="0" applyFill="1" applyBorder="1"/>
    <xf numFmtId="4" fontId="12" fillId="8" borderId="3" xfId="0" applyNumberFormat="1" applyFont="1" applyFill="1" applyBorder="1" applyAlignment="1">
      <alignment horizontal="center"/>
    </xf>
    <xf numFmtId="0" fontId="11" fillId="8" borderId="5" xfId="0" applyFont="1" applyFill="1" applyBorder="1"/>
    <xf numFmtId="0" fontId="5" fillId="7" borderId="3" xfId="0" applyFont="1" applyFill="1" applyBorder="1" applyAlignment="1">
      <alignment horizontal="right"/>
    </xf>
    <xf numFmtId="0" fontId="7" fillId="8" borderId="3" xfId="0" applyFont="1" applyFill="1" applyBorder="1"/>
    <xf numFmtId="0" fontId="7" fillId="8" borderId="3" xfId="0" applyFont="1" applyFill="1" applyBorder="1" applyAlignment="1">
      <alignment horizontal="right"/>
    </xf>
    <xf numFmtId="4" fontId="7" fillId="8" borderId="3" xfId="0" applyNumberFormat="1" applyFont="1" applyFill="1" applyBorder="1"/>
    <xf numFmtId="2" fontId="11" fillId="6" borderId="0" xfId="0" applyNumberFormat="1" applyFont="1" applyFill="1" applyAlignment="1">
      <alignment horizontal="right"/>
    </xf>
    <xf numFmtId="2" fontId="7" fillId="6" borderId="3" xfId="0" applyNumberFormat="1" applyFont="1" applyFill="1" applyBorder="1" applyAlignment="1">
      <alignment horizontal="right"/>
    </xf>
    <xf numFmtId="4" fontId="7" fillId="8" borderId="3" xfId="7" applyNumberFormat="1" applyFont="1" applyFill="1" applyBorder="1" applyAlignment="1">
      <alignment horizontal="right" vertical="center"/>
    </xf>
    <xf numFmtId="0" fontId="11" fillId="8" borderId="3" xfId="0" applyFont="1" applyFill="1" applyBorder="1" applyAlignment="1">
      <alignment wrapText="1"/>
    </xf>
    <xf numFmtId="0" fontId="11" fillId="8" borderId="3" xfId="0" applyFont="1" applyFill="1" applyBorder="1" applyAlignment="1">
      <alignment horizontal="right" vertical="center"/>
    </xf>
    <xf numFmtId="4" fontId="11" fillId="8" borderId="3" xfId="2" applyNumberFormat="1" applyFont="1" applyFill="1" applyBorder="1" applyAlignment="1">
      <alignment horizontal="right" vertical="center"/>
    </xf>
    <xf numFmtId="2" fontId="11" fillId="6" borderId="3" xfId="0" applyNumberFormat="1" applyFont="1" applyFill="1" applyBorder="1" applyAlignment="1">
      <alignment horizontal="right"/>
    </xf>
    <xf numFmtId="10" fontId="7" fillId="6" borderId="3" xfId="1" applyNumberFormat="1" applyFont="1" applyFill="1" applyBorder="1" applyAlignment="1">
      <alignment horizontal="right"/>
    </xf>
    <xf numFmtId="0" fontId="14" fillId="8" borderId="0" xfId="0" applyFont="1" applyFill="1"/>
    <xf numFmtId="0" fontId="15" fillId="8" borderId="0" xfId="0" applyFont="1" applyFill="1"/>
    <xf numFmtId="39" fontId="11" fillId="8" borderId="3" xfId="2" applyNumberFormat="1" applyFont="1" applyFill="1" applyBorder="1" applyAlignment="1">
      <alignment horizontal="right"/>
    </xf>
    <xf numFmtId="4" fontId="11" fillId="6" borderId="3" xfId="0" applyNumberFormat="1" applyFont="1" applyFill="1" applyBorder="1" applyAlignment="1">
      <alignment horizontal="center"/>
    </xf>
    <xf numFmtId="2" fontId="11" fillId="8" borderId="3" xfId="0" applyNumberFormat="1" applyFont="1" applyFill="1" applyBorder="1" applyAlignment="1">
      <alignment horizontal="center"/>
    </xf>
    <xf numFmtId="173" fontId="11" fillId="8" borderId="3" xfId="2" applyNumberFormat="1" applyFont="1" applyFill="1" applyBorder="1" applyAlignment="1">
      <alignment horizontal="right"/>
    </xf>
    <xf numFmtId="0" fontId="11" fillId="0" borderId="0" xfId="0" applyFont="1"/>
    <xf numFmtId="165" fontId="7" fillId="0" borderId="0" xfId="1" applyFont="1" applyFill="1" applyBorder="1" applyAlignment="1">
      <alignment vertical="center"/>
    </xf>
    <xf numFmtId="165" fontId="5" fillId="0" borderId="0" xfId="1" applyFont="1" applyFill="1" applyBorder="1" applyAlignment="1">
      <alignment vertical="center"/>
    </xf>
    <xf numFmtId="2" fontId="11" fillId="8" borderId="4" xfId="0" applyNumberFormat="1" applyFont="1" applyFill="1" applyBorder="1" applyAlignment="1">
      <alignment horizontal="center"/>
    </xf>
    <xf numFmtId="0" fontId="11" fillId="8" borderId="4" xfId="0" applyFont="1" applyFill="1" applyBorder="1"/>
    <xf numFmtId="0" fontId="11" fillId="8" borderId="4" xfId="0" applyFont="1" applyFill="1" applyBorder="1" applyAlignment="1">
      <alignment horizontal="center"/>
    </xf>
    <xf numFmtId="173" fontId="11" fillId="8" borderId="4" xfId="2" applyNumberFormat="1" applyFont="1" applyFill="1" applyBorder="1" applyAlignment="1">
      <alignment horizontal="right"/>
    </xf>
    <xf numFmtId="39" fontId="11" fillId="8" borderId="4" xfId="2" applyNumberFormat="1" applyFont="1" applyFill="1" applyBorder="1" applyAlignment="1">
      <alignment horizontal="right"/>
    </xf>
    <xf numFmtId="0" fontId="5" fillId="8" borderId="6" xfId="0" applyFont="1" applyFill="1" applyBorder="1" applyAlignment="1">
      <alignment horizontal="left" wrapText="1"/>
    </xf>
    <xf numFmtId="0" fontId="5" fillId="8" borderId="4" xfId="0" applyFont="1" applyFill="1" applyBorder="1"/>
    <xf numFmtId="0" fontId="16" fillId="8" borderId="4" xfId="0" applyFont="1" applyFill="1" applyBorder="1"/>
    <xf numFmtId="39" fontId="5" fillId="8" borderId="4" xfId="2" applyNumberFormat="1" applyFont="1" applyFill="1" applyBorder="1" applyAlignment="1">
      <alignment horizontal="right"/>
    </xf>
    <xf numFmtId="0" fontId="5" fillId="8" borderId="3" xfId="0" applyFont="1" applyFill="1" applyBorder="1" applyAlignment="1">
      <alignment horizontal="center" vertical="center"/>
    </xf>
    <xf numFmtId="0" fontId="5" fillId="8" borderId="3" xfId="0" applyFont="1" applyFill="1" applyBorder="1"/>
    <xf numFmtId="174" fontId="11" fillId="8" borderId="3" xfId="2" applyNumberFormat="1" applyFont="1" applyFill="1" applyBorder="1" applyAlignment="1">
      <alignment horizontal="right"/>
    </xf>
    <xf numFmtId="4" fontId="11" fillId="6" borderId="4" xfId="0" applyNumberFormat="1" applyFont="1" applyFill="1" applyBorder="1" applyAlignment="1">
      <alignment horizontal="right"/>
    </xf>
    <xf numFmtId="39" fontId="12" fillId="8" borderId="3" xfId="0" applyNumberFormat="1" applyFont="1" applyFill="1" applyBorder="1"/>
    <xf numFmtId="0" fontId="9" fillId="8" borderId="3" xfId="0" applyFont="1" applyFill="1" applyBorder="1" applyAlignment="1">
      <alignment wrapText="1"/>
    </xf>
    <xf numFmtId="165" fontId="8" fillId="8" borderId="3" xfId="1" applyFont="1" applyFill="1" applyBorder="1" applyAlignment="1">
      <alignment vertical="center"/>
    </xf>
    <xf numFmtId="4" fontId="7" fillId="6" borderId="3" xfId="0" applyNumberFormat="1" applyFont="1" applyFill="1" applyBorder="1" applyAlignment="1">
      <alignment horizontal="right" vertical="center"/>
    </xf>
    <xf numFmtId="4" fontId="7" fillId="7" borderId="5" xfId="1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9" fillId="0" borderId="0" xfId="0" applyFont="1"/>
    <xf numFmtId="165" fontId="8" fillId="0" borderId="0" xfId="1" applyFont="1" applyFill="1" applyBorder="1" applyAlignment="1">
      <alignment horizontal="right" vertical="center"/>
    </xf>
    <xf numFmtId="165" fontId="8" fillId="0" borderId="0" xfId="1" applyFont="1" applyFill="1" applyBorder="1" applyAlignment="1">
      <alignment vertical="center"/>
    </xf>
    <xf numFmtId="2" fontId="7" fillId="0" borderId="0" xfId="0" applyNumberFormat="1" applyFont="1" applyAlignment="1">
      <alignment horizontal="right" vertical="center"/>
    </xf>
    <xf numFmtId="175" fontId="7" fillId="0" borderId="0" xfId="1" applyNumberFormat="1" applyFont="1" applyFill="1" applyBorder="1" applyAlignment="1">
      <alignment vertical="center"/>
    </xf>
    <xf numFmtId="2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7" fillId="0" borderId="0" xfId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>
      <alignment vertical="center"/>
    </xf>
    <xf numFmtId="10" fontId="7" fillId="0" borderId="0" xfId="1" applyNumberFormat="1" applyFont="1" applyFill="1" applyBorder="1" applyAlignment="1">
      <alignment vertical="center"/>
    </xf>
    <xf numFmtId="4" fontId="5" fillId="8" borderId="3" xfId="1" applyNumberFormat="1" applyFont="1" applyFill="1" applyBorder="1" applyAlignment="1">
      <alignment vertical="center"/>
    </xf>
    <xf numFmtId="4" fontId="5" fillId="6" borderId="3" xfId="0" applyNumberFormat="1" applyFont="1" applyFill="1" applyBorder="1" applyAlignment="1">
      <alignment horizontal="right"/>
    </xf>
    <xf numFmtId="4" fontId="5" fillId="7" borderId="5" xfId="1" applyNumberFormat="1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/>
    <xf numFmtId="0" fontId="12" fillId="8" borderId="7" xfId="0" applyFont="1" applyFill="1" applyBorder="1"/>
    <xf numFmtId="4" fontId="5" fillId="0" borderId="0" xfId="1" applyNumberFormat="1" applyFont="1" applyFill="1" applyBorder="1" applyAlignment="1">
      <alignment vertical="center"/>
    </xf>
    <xf numFmtId="0" fontId="11" fillId="8" borderId="7" xfId="0" applyFont="1" applyFill="1" applyBorder="1"/>
    <xf numFmtId="176" fontId="11" fillId="8" borderId="3" xfId="0" applyNumberFormat="1" applyFont="1" applyFill="1" applyBorder="1"/>
    <xf numFmtId="176" fontId="7" fillId="6" borderId="3" xfId="0" applyNumberFormat="1" applyFont="1" applyFill="1" applyBorder="1" applyAlignment="1">
      <alignment horizontal="right"/>
    </xf>
    <xf numFmtId="0" fontId="12" fillId="0" borderId="0" xfId="0" applyFont="1"/>
    <xf numFmtId="2" fontId="11" fillId="0" borderId="0" xfId="0" applyNumberFormat="1" applyFont="1" applyAlignment="1">
      <alignment horizontal="center"/>
    </xf>
    <xf numFmtId="169" fontId="7" fillId="8" borderId="3" xfId="1" applyNumberFormat="1" applyFont="1" applyFill="1" applyBorder="1" applyAlignment="1">
      <alignment vertical="center"/>
    </xf>
    <xf numFmtId="4" fontId="12" fillId="0" borderId="0" xfId="0" applyNumberFormat="1" applyFont="1"/>
    <xf numFmtId="177" fontId="11" fillId="8" borderId="3" xfId="0" applyNumberFormat="1" applyFont="1" applyFill="1" applyBorder="1"/>
    <xf numFmtId="0" fontId="11" fillId="6" borderId="4" xfId="0" applyFont="1" applyFill="1" applyBorder="1" applyAlignment="1">
      <alignment horizontal="right"/>
    </xf>
    <xf numFmtId="4" fontId="11" fillId="8" borderId="5" xfId="0" applyNumberFormat="1" applyFont="1" applyFill="1" applyBorder="1"/>
    <xf numFmtId="165" fontId="5" fillId="7" borderId="5" xfId="1" applyFont="1" applyFill="1" applyBorder="1" applyAlignment="1">
      <alignment horizontal="right"/>
    </xf>
    <xf numFmtId="0" fontId="7" fillId="8" borderId="3" xfId="0" applyFont="1" applyFill="1" applyBorder="1" applyAlignment="1">
      <alignment horizontal="left" wrapText="1"/>
    </xf>
    <xf numFmtId="165" fontId="7" fillId="8" borderId="3" xfId="1" applyFont="1" applyFill="1" applyBorder="1" applyAlignment="1">
      <alignment horizontal="right" vertical="center" wrapText="1"/>
    </xf>
    <xf numFmtId="165" fontId="7" fillId="8" borderId="3" xfId="1" applyFont="1" applyFill="1" applyBorder="1" applyAlignment="1">
      <alignment vertical="center" wrapText="1"/>
    </xf>
    <xf numFmtId="174" fontId="7" fillId="8" borderId="3" xfId="1" applyNumberFormat="1" applyFont="1" applyFill="1" applyBorder="1" applyAlignment="1">
      <alignment horizontal="right" vertical="center" wrapText="1"/>
    </xf>
    <xf numFmtId="0" fontId="16" fillId="8" borderId="3" xfId="0" applyFont="1" applyFill="1" applyBorder="1"/>
    <xf numFmtId="39" fontId="5" fillId="8" borderId="3" xfId="2" applyNumberFormat="1" applyFont="1" applyFill="1" applyBorder="1" applyAlignment="1">
      <alignment horizontal="right"/>
    </xf>
    <xf numFmtId="165" fontId="7" fillId="8" borderId="7" xfId="1" applyFont="1" applyFill="1" applyBorder="1" applyAlignment="1">
      <alignment horizontal="right" vertical="center"/>
    </xf>
    <xf numFmtId="4" fontId="11" fillId="8" borderId="3" xfId="2" applyNumberFormat="1" applyFont="1" applyFill="1" applyBorder="1" applyAlignment="1">
      <alignment horizontal="right"/>
    </xf>
    <xf numFmtId="4" fontId="11" fillId="6" borderId="3" xfId="0" applyNumberFormat="1" applyFont="1" applyFill="1" applyBorder="1" applyAlignment="1">
      <alignment horizontal="right"/>
    </xf>
    <xf numFmtId="4" fontId="5" fillId="6" borderId="3" xfId="0" applyNumberFormat="1" applyFont="1" applyFill="1" applyBorder="1" applyAlignment="1">
      <alignment horizontal="center"/>
    </xf>
    <xf numFmtId="165" fontId="5" fillId="8" borderId="3" xfId="1" applyFont="1" applyFill="1" applyBorder="1" applyAlignment="1">
      <alignment horizontal="right" vertical="center"/>
    </xf>
    <xf numFmtId="0" fontId="17" fillId="8" borderId="3" xfId="0" applyFont="1" applyFill="1" applyBorder="1" applyAlignment="1">
      <alignment horizontal="center"/>
    </xf>
    <xf numFmtId="0" fontId="18" fillId="8" borderId="3" xfId="0" applyFont="1" applyFill="1" applyBorder="1"/>
    <xf numFmtId="0" fontId="14" fillId="8" borderId="3" xfId="0" applyFont="1" applyFill="1" applyBorder="1" applyAlignment="1">
      <alignment horizontal="center"/>
    </xf>
    <xf numFmtId="0" fontId="14" fillId="8" borderId="3" xfId="0" applyFont="1" applyFill="1" applyBorder="1"/>
    <xf numFmtId="178" fontId="12" fillId="0" borderId="0" xfId="0" applyNumberFormat="1" applyFont="1"/>
    <xf numFmtId="178" fontId="12" fillId="0" borderId="0" xfId="0" applyNumberFormat="1" applyFont="1" applyAlignment="1">
      <alignment horizontal="center"/>
    </xf>
    <xf numFmtId="178" fontId="12" fillId="0" borderId="0" xfId="2" applyNumberFormat="1" applyFont="1" applyFill="1" applyBorder="1" applyAlignment="1">
      <alignment horizontal="center"/>
    </xf>
    <xf numFmtId="178" fontId="12" fillId="0" borderId="0" xfId="0" applyNumberFormat="1" applyFont="1" applyAlignment="1">
      <alignment horizontal="right"/>
    </xf>
    <xf numFmtId="164" fontId="12" fillId="0" borderId="0" xfId="2" applyFont="1" applyFill="1" applyBorder="1" applyAlignment="1">
      <alignment horizontal="center"/>
    </xf>
    <xf numFmtId="165" fontId="12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wrapText="1"/>
    </xf>
    <xf numFmtId="165" fontId="1" fillId="0" borderId="0" xfId="1" applyBorder="1"/>
    <xf numFmtId="179" fontId="1" fillId="0" borderId="0" xfId="1" applyNumberFormat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164" fontId="0" fillId="0" borderId="0" xfId="2" applyFont="1" applyFill="1" applyBorder="1" applyAlignment="1">
      <alignment horizontal="center"/>
    </xf>
    <xf numFmtId="4" fontId="5" fillId="0" borderId="0" xfId="0" applyNumberFormat="1" applyFont="1" applyAlignment="1">
      <alignment horizontal="center"/>
    </xf>
    <xf numFmtId="178" fontId="5" fillId="0" borderId="0" xfId="0" applyNumberFormat="1" applyFont="1" applyAlignment="1">
      <alignment horizontal="center"/>
    </xf>
    <xf numFmtId="178" fontId="3" fillId="0" borderId="0" xfId="0" applyNumberFormat="1" applyFont="1"/>
    <xf numFmtId="178" fontId="5" fillId="0" borderId="0" xfId="1" applyNumberFormat="1" applyFont="1" applyBorder="1" applyAlignment="1">
      <alignment horizontal="center"/>
    </xf>
    <xf numFmtId="4" fontId="5" fillId="0" borderId="0" xfId="0" applyNumberFormat="1" applyFont="1"/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180" fontId="5" fillId="0" borderId="0" xfId="0" applyNumberFormat="1" applyFont="1" applyAlignment="1">
      <alignment horizontal="right"/>
    </xf>
    <xf numFmtId="180" fontId="5" fillId="0" borderId="0" xfId="0" applyNumberFormat="1" applyFont="1" applyAlignment="1">
      <alignment horizontal="center"/>
    </xf>
    <xf numFmtId="4" fontId="5" fillId="0" borderId="0" xfId="1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178" fontId="0" fillId="0" borderId="0" xfId="0" applyNumberFormat="1"/>
    <xf numFmtId="10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right"/>
    </xf>
    <xf numFmtId="10" fontId="5" fillId="0" borderId="0" xfId="3" applyNumberFormat="1" applyFont="1" applyBorder="1" applyAlignment="1">
      <alignment horizontal="center"/>
    </xf>
    <xf numFmtId="0" fontId="19" fillId="0" borderId="0" xfId="0" applyFont="1"/>
    <xf numFmtId="178" fontId="5" fillId="0" borderId="0" xfId="1" applyNumberFormat="1" applyFont="1" applyBorder="1"/>
    <xf numFmtId="180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178" fontId="19" fillId="0" borderId="0" xfId="1" applyNumberFormat="1" applyFont="1" applyBorder="1" applyAlignment="1">
      <alignment horizontal="center"/>
    </xf>
    <xf numFmtId="178" fontId="19" fillId="0" borderId="0" xfId="0" applyNumberFormat="1" applyFont="1" applyAlignment="1">
      <alignment horizontal="center"/>
    </xf>
    <xf numFmtId="0" fontId="20" fillId="0" borderId="0" xfId="0" applyFont="1"/>
    <xf numFmtId="9" fontId="7" fillId="0" borderId="0" xfId="0" applyNumberFormat="1" applyFont="1" applyAlignment="1">
      <alignment horizontal="right"/>
    </xf>
    <xf numFmtId="178" fontId="7" fillId="0" borderId="0" xfId="1" applyNumberFormat="1" applyFont="1" applyBorder="1"/>
    <xf numFmtId="0" fontId="21" fillId="0" borderId="0" xfId="0" applyFont="1" applyAlignment="1">
      <alignment horizontal="left"/>
    </xf>
    <xf numFmtId="178" fontId="7" fillId="0" borderId="0" xfId="0" applyNumberFormat="1" applyFont="1"/>
    <xf numFmtId="178" fontId="7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9" fontId="5" fillId="0" borderId="0" xfId="3" applyFont="1" applyBorder="1" applyAlignment="1">
      <alignment horizontal="center"/>
    </xf>
    <xf numFmtId="0" fontId="0" fillId="0" borderId="0" xfId="0" applyAlignment="1">
      <alignment horizontal="right"/>
    </xf>
    <xf numFmtId="178" fontId="19" fillId="0" borderId="0" xfId="1" applyNumberFormat="1" applyFont="1" applyBorder="1"/>
    <xf numFmtId="4" fontId="19" fillId="0" borderId="0" xfId="1" applyNumberFormat="1" applyFont="1" applyBorder="1"/>
    <xf numFmtId="4" fontId="19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181" fontId="5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/>
    <xf numFmtId="166" fontId="5" fillId="0" borderId="11" xfId="0" applyNumberFormat="1" applyFont="1" applyBorder="1" applyAlignment="1">
      <alignment horizontal="left"/>
    </xf>
    <xf numFmtId="14" fontId="5" fillId="0" borderId="11" xfId="0" applyNumberFormat="1" applyFont="1" applyBorder="1"/>
    <xf numFmtId="0" fontId="7" fillId="0" borderId="11" xfId="0" applyFont="1" applyBorder="1"/>
    <xf numFmtId="165" fontId="5" fillId="10" borderId="3" xfId="1" applyFont="1" applyFill="1" applyBorder="1" applyAlignment="1">
      <alignment horizontal="center"/>
    </xf>
    <xf numFmtId="0" fontId="5" fillId="10" borderId="3" xfId="0" applyFont="1" applyFill="1" applyBorder="1" applyAlignment="1">
      <alignment horizontal="left" vertical="top"/>
    </xf>
    <xf numFmtId="0" fontId="5" fillId="10" borderId="3" xfId="0" applyFont="1" applyFill="1" applyBorder="1" applyAlignment="1">
      <alignment horizontal="center"/>
    </xf>
    <xf numFmtId="2" fontId="22" fillId="8" borderId="3" xfId="8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left"/>
    </xf>
    <xf numFmtId="0" fontId="5" fillId="8" borderId="3" xfId="0" applyFont="1" applyFill="1" applyBorder="1" applyAlignment="1">
      <alignment horizontal="center"/>
    </xf>
    <xf numFmtId="165" fontId="5" fillId="8" borderId="3" xfId="1" applyFont="1" applyFill="1" applyBorder="1" applyAlignment="1">
      <alignment horizontal="center"/>
    </xf>
    <xf numFmtId="0" fontId="23" fillId="8" borderId="3" xfId="0" applyFont="1" applyFill="1" applyBorder="1" applyAlignment="1">
      <alignment horizontal="center" vertical="center"/>
    </xf>
    <xf numFmtId="0" fontId="24" fillId="8" borderId="3" xfId="0" applyFont="1" applyFill="1" applyBorder="1" applyAlignment="1">
      <alignment horizontal="left"/>
    </xf>
    <xf numFmtId="0" fontId="24" fillId="8" borderId="3" xfId="0" applyFont="1" applyFill="1" applyBorder="1" applyAlignment="1">
      <alignment horizontal="right"/>
    </xf>
    <xf numFmtId="4" fontId="24" fillId="8" borderId="3" xfId="0" applyNumberFormat="1" applyFont="1" applyFill="1" applyBorder="1" applyAlignment="1">
      <alignment horizontal="right"/>
    </xf>
    <xf numFmtId="165" fontId="24" fillId="8" borderId="3" xfId="1" applyFont="1" applyFill="1" applyBorder="1" applyAlignment="1">
      <alignment horizontal="center"/>
    </xf>
    <xf numFmtId="165" fontId="24" fillId="8" borderId="3" xfId="1" applyFont="1" applyFill="1" applyBorder="1" applyAlignment="1">
      <alignment wrapText="1"/>
    </xf>
    <xf numFmtId="165" fontId="7" fillId="10" borderId="3" xfId="1" applyFont="1" applyFill="1" applyBorder="1" applyAlignment="1">
      <alignment horizontal="center"/>
    </xf>
    <xf numFmtId="165" fontId="7" fillId="10" borderId="3" xfId="0" applyNumberFormat="1" applyFont="1" applyFill="1" applyBorder="1" applyAlignment="1">
      <alignment horizontal="center" vertical="center"/>
    </xf>
    <xf numFmtId="10" fontId="7" fillId="10" borderId="3" xfId="0" applyNumberFormat="1" applyFont="1" applyFill="1" applyBorder="1" applyAlignment="1">
      <alignment horizontal="center"/>
    </xf>
    <xf numFmtId="165" fontId="7" fillId="8" borderId="3" xfId="0" applyNumberFormat="1" applyFont="1" applyFill="1" applyBorder="1" applyAlignment="1">
      <alignment horizontal="center"/>
    </xf>
    <xf numFmtId="165" fontId="7" fillId="8" borderId="3" xfId="0" applyNumberFormat="1" applyFont="1" applyFill="1" applyBorder="1" applyAlignment="1">
      <alignment horizontal="center" vertical="center"/>
    </xf>
    <xf numFmtId="165" fontId="7" fillId="8" borderId="3" xfId="1" applyFont="1" applyFill="1" applyBorder="1" applyAlignment="1">
      <alignment horizontal="center"/>
    </xf>
    <xf numFmtId="0" fontId="7" fillId="8" borderId="3" xfId="0" applyFont="1" applyFill="1" applyBorder="1" applyAlignment="1">
      <alignment horizontal="center"/>
    </xf>
    <xf numFmtId="182" fontId="7" fillId="10" borderId="3" xfId="1" applyNumberFormat="1" applyFont="1" applyFill="1" applyBorder="1" applyAlignment="1">
      <alignment horizontal="center"/>
    </xf>
    <xf numFmtId="182" fontId="7" fillId="10" borderId="3" xfId="0" applyNumberFormat="1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wrapText="1"/>
    </xf>
    <xf numFmtId="0" fontId="25" fillId="8" borderId="3" xfId="0" applyFont="1" applyFill="1" applyBorder="1" applyAlignment="1">
      <alignment horizontal="center"/>
    </xf>
    <xf numFmtId="4" fontId="25" fillId="8" borderId="3" xfId="0" applyNumberFormat="1" applyFont="1" applyFill="1" applyBorder="1" applyAlignment="1">
      <alignment horizontal="center"/>
    </xf>
    <xf numFmtId="165" fontId="25" fillId="8" borderId="3" xfId="1" applyFont="1" applyFill="1" applyBorder="1" applyAlignment="1">
      <alignment horizontal="center"/>
    </xf>
    <xf numFmtId="0" fontId="7" fillId="10" borderId="3" xfId="0" applyFont="1" applyFill="1" applyBorder="1" applyAlignment="1">
      <alignment horizontal="left" vertical="top"/>
    </xf>
    <xf numFmtId="0" fontId="7" fillId="10" borderId="3" xfId="0" applyFont="1" applyFill="1" applyBorder="1" applyAlignment="1">
      <alignment horizontal="center"/>
    </xf>
    <xf numFmtId="165" fontId="5" fillId="8" borderId="3" xfId="0" applyNumberFormat="1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 vertical="top"/>
    </xf>
    <xf numFmtId="0" fontId="25" fillId="8" borderId="3" xfId="0" applyFont="1" applyFill="1" applyBorder="1" applyAlignment="1">
      <alignment horizontal="left"/>
    </xf>
    <xf numFmtId="165" fontId="25" fillId="8" borderId="3" xfId="1" applyFont="1" applyFill="1" applyBorder="1" applyAlignment="1">
      <alignment wrapText="1"/>
    </xf>
    <xf numFmtId="165" fontId="5" fillId="8" borderId="3" xfId="0" applyNumberFormat="1" applyFont="1" applyFill="1" applyBorder="1" applyAlignment="1">
      <alignment horizontal="center" vertical="center"/>
    </xf>
    <xf numFmtId="183" fontId="24" fillId="8" borderId="3" xfId="1" applyNumberFormat="1" applyFont="1" applyFill="1" applyBorder="1" applyAlignment="1">
      <alignment horizontal="center"/>
    </xf>
    <xf numFmtId="184" fontId="7" fillId="10" borderId="3" xfId="1" applyNumberFormat="1" applyFont="1" applyFill="1" applyBorder="1" applyAlignment="1">
      <alignment horizontal="center"/>
    </xf>
    <xf numFmtId="0" fontId="24" fillId="8" borderId="3" xfId="0" applyFont="1" applyFill="1" applyBorder="1" applyAlignment="1">
      <alignment horizontal="center"/>
    </xf>
    <xf numFmtId="0" fontId="5" fillId="8" borderId="3" xfId="0" applyFont="1" applyFill="1" applyBorder="1" applyAlignment="1">
      <alignment wrapText="1"/>
    </xf>
    <xf numFmtId="0" fontId="25" fillId="8" borderId="3" xfId="0" applyFont="1" applyFill="1" applyBorder="1" applyAlignment="1">
      <alignment horizontal="left" wrapText="1"/>
    </xf>
    <xf numFmtId="0" fontId="24" fillId="8" borderId="3" xfId="0" applyFont="1" applyFill="1" applyBorder="1" applyAlignment="1">
      <alignment horizontal="left" wrapText="1"/>
    </xf>
    <xf numFmtId="4" fontId="23" fillId="8" borderId="3" xfId="9" applyNumberFormat="1" applyFont="1" applyFill="1" applyBorder="1" applyAlignment="1">
      <alignment horizontal="right" vertical="center"/>
    </xf>
    <xf numFmtId="185" fontId="7" fillId="10" borderId="3" xfId="1" applyNumberFormat="1" applyFont="1" applyFill="1" applyBorder="1" applyAlignment="1">
      <alignment horizontal="center"/>
    </xf>
    <xf numFmtId="0" fontId="24" fillId="8" borderId="3" xfId="0" applyFont="1" applyFill="1" applyBorder="1" applyAlignment="1">
      <alignment horizontal="center" vertical="center"/>
    </xf>
    <xf numFmtId="184" fontId="5" fillId="10" borderId="3" xfId="1" applyNumberFormat="1" applyFont="1" applyFill="1" applyBorder="1" applyAlignment="1">
      <alignment horizontal="center"/>
    </xf>
    <xf numFmtId="2" fontId="25" fillId="8" borderId="3" xfId="8" applyNumberFormat="1" applyFont="1" applyFill="1" applyBorder="1" applyAlignment="1">
      <alignment horizontal="center" vertical="center"/>
    </xf>
    <xf numFmtId="0" fontId="25" fillId="8" borderId="3" xfId="0" applyFont="1" applyFill="1" applyBorder="1" applyAlignment="1">
      <alignment vertical="center"/>
    </xf>
    <xf numFmtId="0" fontId="24" fillId="8" borderId="3" xfId="0" applyFont="1" applyFill="1" applyBorder="1" applyAlignment="1">
      <alignment vertical="center" wrapText="1"/>
    </xf>
    <xf numFmtId="0" fontId="24" fillId="8" borderId="3" xfId="10" applyFont="1" applyFill="1" applyBorder="1" applyAlignment="1">
      <alignment horizontal="right" vertical="center" wrapText="1"/>
    </xf>
    <xf numFmtId="4" fontId="24" fillId="8" borderId="3" xfId="9" applyNumberFormat="1" applyFont="1" applyFill="1" applyBorder="1" applyAlignment="1">
      <alignment horizontal="right" vertical="center"/>
    </xf>
    <xf numFmtId="181" fontId="24" fillId="8" borderId="3" xfId="0" applyNumberFormat="1" applyFont="1" applyFill="1" applyBorder="1" applyAlignment="1">
      <alignment vertical="center"/>
    </xf>
    <xf numFmtId="0" fontId="24" fillId="8" borderId="3" xfId="0" applyFont="1" applyFill="1" applyBorder="1" applyAlignment="1">
      <alignment horizontal="right" vertical="center"/>
    </xf>
    <xf numFmtId="0" fontId="24" fillId="8" borderId="3" xfId="0" applyFont="1" applyFill="1" applyBorder="1" applyAlignment="1">
      <alignment vertical="center"/>
    </xf>
    <xf numFmtId="0" fontId="24" fillId="8" borderId="3" xfId="0" applyFont="1" applyFill="1" applyBorder="1" applyAlignment="1">
      <alignment wrapText="1"/>
    </xf>
    <xf numFmtId="165" fontId="24" fillId="8" borderId="3" xfId="1" applyFont="1" applyFill="1" applyBorder="1" applyAlignment="1">
      <alignment vertical="center" wrapText="1"/>
    </xf>
    <xf numFmtId="165" fontId="25" fillId="8" borderId="3" xfId="1" applyFont="1" applyFill="1" applyBorder="1" applyAlignment="1">
      <alignment vertical="center" wrapText="1"/>
    </xf>
    <xf numFmtId="0" fontId="24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/>
    <xf numFmtId="165" fontId="27" fillId="8" borderId="3" xfId="11" applyFont="1" applyFill="1" applyBorder="1" applyAlignment="1">
      <alignment horizontal="center"/>
    </xf>
    <xf numFmtId="165" fontId="28" fillId="8" borderId="3" xfId="0" applyNumberFormat="1" applyFont="1" applyFill="1" applyBorder="1"/>
    <xf numFmtId="172" fontId="7" fillId="0" borderId="0" xfId="0" applyNumberFormat="1" applyFont="1"/>
    <xf numFmtId="179" fontId="5" fillId="0" borderId="0" xfId="0" applyNumberFormat="1" applyFont="1"/>
    <xf numFmtId="165" fontId="27" fillId="0" borderId="0" xfId="11" applyFont="1" applyFill="1" applyBorder="1" applyAlignment="1">
      <alignment horizontal="center"/>
    </xf>
    <xf numFmtId="165" fontId="7" fillId="0" borderId="0" xfId="1" applyFont="1" applyFill="1" applyBorder="1"/>
    <xf numFmtId="2" fontId="7" fillId="0" borderId="0" xfId="0" applyNumberFormat="1" applyFont="1" applyAlignment="1">
      <alignment horizontal="right"/>
    </xf>
    <xf numFmtId="165" fontId="7" fillId="0" borderId="0" xfId="3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179" fontId="5" fillId="0" borderId="0" xfId="1" applyNumberFormat="1" applyFont="1" applyFill="1" applyBorder="1" applyAlignment="1">
      <alignment wrapText="1"/>
    </xf>
    <xf numFmtId="4" fontId="5" fillId="0" borderId="0" xfId="1" applyNumberFormat="1" applyFont="1" applyFill="1" applyBorder="1"/>
    <xf numFmtId="165" fontId="5" fillId="0" borderId="0" xfId="1" applyFont="1" applyFill="1" applyBorder="1"/>
    <xf numFmtId="0" fontId="5" fillId="0" borderId="0" xfId="0" applyFont="1" applyAlignment="1">
      <alignment vertical="center" wrapText="1"/>
    </xf>
    <xf numFmtId="165" fontId="11" fillId="0" borderId="0" xfId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9" fontId="5" fillId="0" borderId="0" xfId="3" applyFont="1" applyBorder="1"/>
    <xf numFmtId="178" fontId="5" fillId="0" borderId="0" xfId="0" applyNumberFormat="1" applyFont="1"/>
    <xf numFmtId="186" fontId="5" fillId="0" borderId="0" xfId="0" applyNumberFormat="1" applyFont="1" applyAlignment="1">
      <alignment horizontal="center"/>
    </xf>
    <xf numFmtId="4" fontId="0" fillId="0" borderId="0" xfId="0" applyNumberFormat="1"/>
    <xf numFmtId="0" fontId="7" fillId="0" borderId="0" xfId="0" applyFont="1" applyAlignment="1">
      <alignment horizontal="left" vertical="top"/>
    </xf>
    <xf numFmtId="4" fontId="5" fillId="0" borderId="0" xfId="1" applyNumberFormat="1" applyFont="1" applyBorder="1"/>
    <xf numFmtId="4" fontId="5" fillId="0" borderId="0" xfId="1" applyNumberFormat="1" applyFont="1" applyBorder="1" applyAlignment="1"/>
    <xf numFmtId="4" fontId="29" fillId="0" borderId="0" xfId="1" applyNumberFormat="1" applyFont="1" applyBorder="1" applyAlignment="1">
      <alignment horizontal="center"/>
    </xf>
    <xf numFmtId="9" fontId="19" fillId="0" borderId="0" xfId="0" applyNumberFormat="1" applyFont="1" applyAlignment="1">
      <alignment horizontal="center"/>
    </xf>
    <xf numFmtId="4" fontId="19" fillId="0" borderId="0" xfId="1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80" fontId="19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186" fontId="19" fillId="0" borderId="0" xfId="1" applyNumberFormat="1" applyFont="1" applyBorder="1"/>
    <xf numFmtId="186" fontId="7" fillId="0" borderId="0" xfId="0" applyNumberFormat="1" applyFont="1"/>
    <xf numFmtId="186" fontId="7" fillId="0" borderId="0" xfId="0" applyNumberFormat="1" applyFont="1" applyAlignment="1">
      <alignment horizontal="center"/>
    </xf>
    <xf numFmtId="186" fontId="19" fillId="0" borderId="0" xfId="0" applyNumberFormat="1" applyFont="1" applyAlignment="1">
      <alignment horizontal="center"/>
    </xf>
    <xf numFmtId="179" fontId="19" fillId="0" borderId="0" xfId="0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181" fontId="5" fillId="0" borderId="0" xfId="0" applyNumberFormat="1" applyFont="1"/>
    <xf numFmtId="0" fontId="12" fillId="0" borderId="0" xfId="0" applyFont="1" applyAlignment="1">
      <alignment vertical="center"/>
    </xf>
    <xf numFmtId="2" fontId="8" fillId="8" borderId="3" xfId="8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/>
    </xf>
    <xf numFmtId="0" fontId="8" fillId="8" borderId="3" xfId="0" applyFont="1" applyFill="1" applyBorder="1" applyAlignment="1">
      <alignment horizontal="center"/>
    </xf>
    <xf numFmtId="165" fontId="8" fillId="8" borderId="3" xfId="1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left"/>
    </xf>
    <xf numFmtId="0" fontId="13" fillId="8" borderId="3" xfId="0" applyFont="1" applyFill="1" applyBorder="1" applyAlignment="1">
      <alignment horizontal="right"/>
    </xf>
    <xf numFmtId="4" fontId="13" fillId="8" borderId="3" xfId="0" applyNumberFormat="1" applyFont="1" applyFill="1" applyBorder="1" applyAlignment="1">
      <alignment horizontal="right"/>
    </xf>
    <xf numFmtId="165" fontId="13" fillId="8" borderId="3" xfId="1" applyFont="1" applyFill="1" applyBorder="1" applyAlignment="1">
      <alignment horizontal="center"/>
    </xf>
    <xf numFmtId="165" fontId="13" fillId="8" borderId="3" xfId="1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4" fontId="8" fillId="8" borderId="3" xfId="0" applyNumberFormat="1" applyFont="1" applyFill="1" applyBorder="1" applyAlignment="1">
      <alignment horizontal="center"/>
    </xf>
    <xf numFmtId="165" fontId="8" fillId="8" borderId="3" xfId="1" applyFont="1" applyFill="1" applyBorder="1" applyAlignment="1">
      <alignment wrapText="1"/>
    </xf>
    <xf numFmtId="183" fontId="13" fillId="8" borderId="3" xfId="1" applyNumberFormat="1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wrapText="1"/>
    </xf>
    <xf numFmtId="0" fontId="13" fillId="8" borderId="3" xfId="0" applyFont="1" applyFill="1" applyBorder="1" applyAlignment="1">
      <alignment horizontal="left" wrapText="1"/>
    </xf>
    <xf numFmtId="4" fontId="13" fillId="8" borderId="3" xfId="9" applyNumberFormat="1" applyFont="1" applyFill="1" applyBorder="1" applyAlignment="1">
      <alignment horizontal="right" vertical="center"/>
    </xf>
    <xf numFmtId="0" fontId="8" fillId="8" borderId="3" xfId="0" applyFont="1" applyFill="1" applyBorder="1" applyAlignment="1">
      <alignment vertical="center"/>
    </xf>
    <xf numFmtId="0" fontId="13" fillId="8" borderId="3" xfId="0" applyFont="1" applyFill="1" applyBorder="1" applyAlignment="1">
      <alignment vertical="center" wrapText="1"/>
    </xf>
    <xf numFmtId="0" fontId="13" fillId="8" borderId="3" xfId="10" applyFill="1" applyBorder="1" applyAlignment="1">
      <alignment horizontal="right" vertical="center" wrapText="1"/>
    </xf>
    <xf numFmtId="181" fontId="13" fillId="8" borderId="3" xfId="0" applyNumberFormat="1" applyFont="1" applyFill="1" applyBorder="1" applyAlignment="1">
      <alignment vertical="center"/>
    </xf>
    <xf numFmtId="0" fontId="13" fillId="8" borderId="3" xfId="0" applyFont="1" applyFill="1" applyBorder="1" applyAlignment="1">
      <alignment horizontal="right" vertical="center"/>
    </xf>
    <xf numFmtId="0" fontId="13" fillId="8" borderId="3" xfId="0" applyFont="1" applyFill="1" applyBorder="1" applyAlignment="1">
      <alignment vertical="center"/>
    </xf>
    <xf numFmtId="0" fontId="13" fillId="8" borderId="3" xfId="0" applyFont="1" applyFill="1" applyBorder="1" applyAlignment="1">
      <alignment wrapText="1"/>
    </xf>
    <xf numFmtId="165" fontId="13" fillId="8" borderId="3" xfId="1" applyFont="1" applyFill="1" applyBorder="1" applyAlignment="1">
      <alignment vertical="center" wrapText="1"/>
    </xf>
    <xf numFmtId="165" fontId="8" fillId="8" borderId="3" xfId="1" applyFont="1" applyFill="1" applyBorder="1" applyAlignment="1">
      <alignment vertical="center" wrapText="1"/>
    </xf>
    <xf numFmtId="0" fontId="13" fillId="8" borderId="3" xfId="0" applyFont="1" applyFill="1" applyBorder="1" applyAlignment="1">
      <alignment horizontal="left" vertical="center" wrapText="1"/>
    </xf>
    <xf numFmtId="165" fontId="8" fillId="8" borderId="3" xfId="11" applyFont="1" applyFill="1" applyBorder="1" applyAlignment="1">
      <alignment horizontal="center"/>
    </xf>
    <xf numFmtId="165" fontId="9" fillId="8" borderId="3" xfId="0" applyNumberFormat="1" applyFont="1" applyFill="1" applyBorder="1"/>
    <xf numFmtId="166" fontId="5" fillId="0" borderId="0" xfId="0" applyNumberFormat="1" applyFont="1" applyAlignment="1">
      <alignment horizontal="center"/>
    </xf>
    <xf numFmtId="166" fontId="5" fillId="0" borderId="0" xfId="1" applyNumberFormat="1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0" fontId="30" fillId="2" borderId="2" xfId="4" applyFont="1" applyAlignment="1">
      <alignment horizontal="center"/>
    </xf>
    <xf numFmtId="0" fontId="5" fillId="5" borderId="12" xfId="0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/>
    </xf>
    <xf numFmtId="165" fontId="5" fillId="5" borderId="13" xfId="1" applyFont="1" applyFill="1" applyBorder="1" applyAlignment="1">
      <alignment horizontal="center"/>
    </xf>
    <xf numFmtId="165" fontId="5" fillId="5" borderId="14" xfId="1" applyFont="1" applyFill="1" applyBorder="1" applyAlignment="1">
      <alignment horizontal="center"/>
    </xf>
    <xf numFmtId="165" fontId="30" fillId="2" borderId="2" xfId="4" applyNumberFormat="1" applyFont="1" applyAlignment="1">
      <alignment horizontal="center"/>
    </xf>
    <xf numFmtId="0" fontId="30" fillId="2" borderId="2" xfId="4" applyFont="1" applyAlignment="1">
      <alignment horizontal="left" vertical="top"/>
    </xf>
    <xf numFmtId="0" fontId="12" fillId="4" borderId="13" xfId="6" applyFont="1" applyBorder="1" applyAlignment="1">
      <alignment horizontal="center"/>
    </xf>
    <xf numFmtId="165" fontId="12" fillId="4" borderId="13" xfId="6" applyNumberFormat="1" applyFont="1" applyBorder="1" applyAlignment="1">
      <alignment horizontal="center"/>
    </xf>
    <xf numFmtId="165" fontId="12" fillId="4" borderId="15" xfId="6" applyNumberFormat="1" applyFont="1" applyBorder="1" applyAlignment="1">
      <alignment horizontal="center"/>
    </xf>
    <xf numFmtId="187" fontId="5" fillId="8" borderId="16" xfId="0" applyNumberFormat="1" applyFont="1" applyFill="1" applyBorder="1" applyAlignment="1">
      <alignment horizontal="center" vertical="top"/>
    </xf>
    <xf numFmtId="165" fontId="7" fillId="8" borderId="3" xfId="1" applyFont="1" applyFill="1" applyBorder="1" applyAlignment="1"/>
    <xf numFmtId="165" fontId="30" fillId="2" borderId="2" xfId="4" applyNumberFormat="1" applyFont="1" applyAlignment="1"/>
    <xf numFmtId="0" fontId="30" fillId="10" borderId="2" xfId="4" applyFont="1" applyFill="1" applyAlignment="1">
      <alignment horizontal="left" vertical="top"/>
    </xf>
    <xf numFmtId="0" fontId="30" fillId="10" borderId="2" xfId="4" applyFont="1" applyFill="1"/>
    <xf numFmtId="0" fontId="11" fillId="4" borderId="3" xfId="6" applyFont="1" applyBorder="1" applyAlignment="1">
      <alignment horizontal="center"/>
    </xf>
    <xf numFmtId="165" fontId="11" fillId="4" borderId="3" xfId="6" applyNumberFormat="1" applyFont="1" applyBorder="1" applyAlignment="1"/>
    <xf numFmtId="165" fontId="11" fillId="4" borderId="17" xfId="6" applyNumberFormat="1" applyFont="1" applyBorder="1" applyAlignment="1"/>
    <xf numFmtId="2" fontId="7" fillId="8" borderId="16" xfId="0" applyNumberFormat="1" applyFont="1" applyFill="1" applyBorder="1" applyAlignment="1">
      <alignment horizontal="center" vertical="top"/>
    </xf>
    <xf numFmtId="165" fontId="7" fillId="8" borderId="3" xfId="1" applyFont="1" applyFill="1" applyBorder="1" applyAlignment="1">
      <alignment horizontal="center" vertical="center"/>
    </xf>
    <xf numFmtId="165" fontId="7" fillId="8" borderId="5" xfId="1" applyFont="1" applyFill="1" applyBorder="1" applyAlignment="1"/>
    <xf numFmtId="165" fontId="30" fillId="10" borderId="2" xfId="4" applyNumberFormat="1" applyFont="1" applyFill="1" applyAlignment="1"/>
    <xf numFmtId="2" fontId="7" fillId="10" borderId="3" xfId="0" applyNumberFormat="1" applyFont="1" applyFill="1" applyBorder="1" applyAlignment="1">
      <alignment horizontal="right"/>
    </xf>
    <xf numFmtId="165" fontId="7" fillId="10" borderId="3" xfId="1" applyFont="1" applyFill="1" applyBorder="1" applyAlignment="1"/>
    <xf numFmtId="165" fontId="11" fillId="4" borderId="3" xfId="6" applyNumberFormat="1" applyFont="1" applyBorder="1" applyAlignment="1">
      <alignment horizontal="center"/>
    </xf>
    <xf numFmtId="165" fontId="11" fillId="4" borderId="4" xfId="6" applyNumberFormat="1" applyFont="1" applyBorder="1" applyAlignment="1"/>
    <xf numFmtId="4" fontId="7" fillId="11" borderId="3" xfId="0" applyNumberFormat="1" applyFont="1" applyFill="1" applyBorder="1" applyAlignment="1">
      <alignment horizontal="right"/>
    </xf>
    <xf numFmtId="165" fontId="5" fillId="8" borderId="5" xfId="1" applyFont="1" applyFill="1" applyBorder="1" applyAlignment="1"/>
    <xf numFmtId="2" fontId="30" fillId="2" borderId="2" xfId="4" applyNumberFormat="1" applyFont="1" applyAlignment="1">
      <alignment horizontal="right"/>
    </xf>
    <xf numFmtId="10" fontId="30" fillId="2" borderId="2" xfId="4" applyNumberFormat="1" applyFont="1" applyAlignment="1"/>
    <xf numFmtId="165" fontId="12" fillId="4" borderId="4" xfId="6" applyNumberFormat="1" applyFont="1" applyBorder="1" applyAlignment="1"/>
    <xf numFmtId="4" fontId="5" fillId="11" borderId="3" xfId="0" applyNumberFormat="1" applyFont="1" applyFill="1" applyBorder="1" applyAlignment="1">
      <alignment horizontal="right"/>
    </xf>
    <xf numFmtId="2" fontId="5" fillId="8" borderId="16" xfId="0" applyNumberFormat="1" applyFont="1" applyFill="1" applyBorder="1" applyAlignment="1">
      <alignment horizontal="center" vertical="top"/>
    </xf>
    <xf numFmtId="0" fontId="5" fillId="8" borderId="3" xfId="0" applyFont="1" applyFill="1" applyBorder="1" applyAlignment="1">
      <alignment vertical="center"/>
    </xf>
    <xf numFmtId="165" fontId="5" fillId="8" borderId="3" xfId="1" applyFont="1" applyFill="1" applyBorder="1" applyAlignment="1">
      <alignment horizontal="center" vertical="center"/>
    </xf>
    <xf numFmtId="165" fontId="5" fillId="8" borderId="3" xfId="1" applyFont="1" applyFill="1" applyBorder="1" applyAlignment="1"/>
    <xf numFmtId="2" fontId="7" fillId="8" borderId="3" xfId="0" applyNumberFormat="1" applyFont="1" applyFill="1" applyBorder="1" applyAlignment="1">
      <alignment horizontal="center" vertical="top"/>
    </xf>
    <xf numFmtId="0" fontId="5" fillId="8" borderId="18" xfId="0" applyFont="1" applyFill="1" applyBorder="1"/>
    <xf numFmtId="0" fontId="7" fillId="8" borderId="18" xfId="0" applyFont="1" applyFill="1" applyBorder="1" applyAlignment="1">
      <alignment horizontal="center"/>
    </xf>
    <xf numFmtId="0" fontId="7" fillId="8" borderId="3" xfId="1" applyNumberFormat="1" applyFont="1" applyFill="1" applyBorder="1" applyAlignment="1">
      <alignment horizontal="center" vertical="center"/>
    </xf>
    <xf numFmtId="4" fontId="7" fillId="8" borderId="3" xfId="1" applyNumberFormat="1" applyFont="1" applyFill="1" applyBorder="1" applyAlignment="1"/>
    <xf numFmtId="4" fontId="11" fillId="11" borderId="17" xfId="6" applyNumberFormat="1" applyFont="1" applyFill="1" applyBorder="1" applyAlignment="1"/>
    <xf numFmtId="2" fontId="7" fillId="8" borderId="3" xfId="0" applyNumberFormat="1" applyFont="1" applyFill="1" applyBorder="1" applyAlignment="1">
      <alignment horizontal="center" vertical="center"/>
    </xf>
    <xf numFmtId="0" fontId="7" fillId="8" borderId="18" xfId="0" applyFont="1" applyFill="1" applyBorder="1"/>
    <xf numFmtId="0" fontId="7" fillId="8" borderId="3" xfId="1" applyNumberFormat="1" applyFont="1" applyFill="1" applyBorder="1" applyAlignment="1"/>
    <xf numFmtId="165" fontId="30" fillId="2" borderId="2" xfId="4" applyNumberFormat="1" applyFont="1" applyAlignment="1">
      <alignment horizontal="right"/>
    </xf>
    <xf numFmtId="165" fontId="31" fillId="2" borderId="2" xfId="4" applyNumberFormat="1" applyFont="1" applyAlignment="1"/>
    <xf numFmtId="39" fontId="11" fillId="4" borderId="4" xfId="6" applyNumberFormat="1" applyFont="1" applyBorder="1" applyAlignment="1"/>
    <xf numFmtId="0" fontId="7" fillId="8" borderId="4" xfId="0" applyFont="1" applyFill="1" applyBorder="1"/>
    <xf numFmtId="0" fontId="7" fillId="8" borderId="4" xfId="0" applyFont="1" applyFill="1" applyBorder="1" applyAlignment="1">
      <alignment horizontal="center"/>
    </xf>
    <xf numFmtId="0" fontId="7" fillId="8" borderId="3" xfId="0" applyFont="1" applyFill="1" applyBorder="1" applyAlignment="1">
      <alignment vertical="center"/>
    </xf>
    <xf numFmtId="39" fontId="12" fillId="4" borderId="4" xfId="6" applyNumberFormat="1" applyFont="1" applyBorder="1" applyAlignment="1"/>
    <xf numFmtId="4" fontId="12" fillId="4" borderId="17" xfId="6" applyNumberFormat="1" applyFont="1" applyBorder="1" applyAlignment="1"/>
    <xf numFmtId="0" fontId="7" fillId="8" borderId="3" xfId="0" applyFont="1" applyFill="1" applyBorder="1" applyAlignment="1">
      <alignment horizontal="left"/>
    </xf>
    <xf numFmtId="4" fontId="11" fillId="4" borderId="17" xfId="6" applyNumberFormat="1" applyFont="1" applyBorder="1" applyAlignment="1"/>
    <xf numFmtId="2" fontId="5" fillId="8" borderId="3" xfId="0" applyNumberFormat="1" applyFont="1" applyFill="1" applyBorder="1" applyAlignment="1">
      <alignment horizontal="center" vertical="top"/>
    </xf>
    <xf numFmtId="175" fontId="30" fillId="2" borderId="2" xfId="4" applyNumberFormat="1" applyFont="1" applyAlignment="1"/>
    <xf numFmtId="0" fontId="7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horizontal="left" vertical="center" wrapText="1"/>
    </xf>
    <xf numFmtId="165" fontId="30" fillId="2" borderId="3" xfId="4" applyNumberFormat="1" applyFont="1" applyBorder="1" applyAlignment="1"/>
    <xf numFmtId="2" fontId="30" fillId="2" borderId="3" xfId="4" applyNumberFormat="1" applyFont="1" applyBorder="1" applyAlignment="1">
      <alignment horizontal="right"/>
    </xf>
    <xf numFmtId="175" fontId="30" fillId="2" borderId="3" xfId="4" applyNumberFormat="1" applyFont="1" applyBorder="1" applyAlignment="1"/>
    <xf numFmtId="183" fontId="12" fillId="4" borderId="3" xfId="6" applyNumberFormat="1" applyFont="1" applyBorder="1" applyAlignment="1"/>
    <xf numFmtId="0" fontId="7" fillId="8" borderId="3" xfId="1" applyNumberFormat="1" applyFont="1" applyFill="1" applyBorder="1" applyAlignment="1">
      <alignment horizontal="center"/>
    </xf>
    <xf numFmtId="2" fontId="7" fillId="8" borderId="3" xfId="1" applyNumberFormat="1" applyFont="1" applyFill="1" applyBorder="1" applyAlignment="1">
      <alignment horizontal="center"/>
    </xf>
    <xf numFmtId="2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vertical="center" wrapText="1"/>
    </xf>
    <xf numFmtId="165" fontId="31" fillId="2" borderId="3" xfId="4" applyNumberFormat="1" applyFont="1" applyBorder="1" applyAlignment="1"/>
    <xf numFmtId="2" fontId="31" fillId="2" borderId="3" xfId="4" applyNumberFormat="1" applyFont="1" applyBorder="1" applyAlignment="1">
      <alignment horizontal="right"/>
    </xf>
    <xf numFmtId="9" fontId="31" fillId="2" borderId="3" xfId="3" applyFont="1" applyFill="1" applyBorder="1" applyAlignment="1"/>
    <xf numFmtId="183" fontId="11" fillId="4" borderId="3" xfId="6" applyNumberFormat="1" applyFont="1" applyBorder="1" applyAlignment="1"/>
    <xf numFmtId="4" fontId="7" fillId="8" borderId="3" xfId="1" applyNumberFormat="1" applyFont="1" applyFill="1" applyBorder="1" applyAlignment="1">
      <alignment horizontal="center"/>
    </xf>
    <xf numFmtId="181" fontId="5" fillId="8" borderId="3" xfId="1" applyNumberFormat="1" applyFont="1" applyFill="1" applyBorder="1" applyAlignment="1"/>
    <xf numFmtId="181" fontId="30" fillId="2" borderId="3" xfId="4" applyNumberFormat="1" applyFont="1" applyBorder="1" applyAlignment="1"/>
    <xf numFmtId="181" fontId="30" fillId="2" borderId="3" xfId="4" applyNumberFormat="1" applyFont="1" applyBorder="1" applyAlignment="1">
      <alignment horizontal="right"/>
    </xf>
    <xf numFmtId="181" fontId="11" fillId="4" borderId="3" xfId="6" applyNumberFormat="1" applyFont="1" applyBorder="1" applyAlignment="1">
      <alignment horizontal="center"/>
    </xf>
    <xf numFmtId="181" fontId="12" fillId="4" borderId="3" xfId="6" applyNumberFormat="1" applyFont="1" applyBorder="1" applyAlignment="1"/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5" fontId="7" fillId="0" borderId="0" xfId="1" applyFont="1" applyFill="1" applyBorder="1" applyAlignment="1">
      <alignment horizontal="center"/>
    </xf>
    <xf numFmtId="165" fontId="7" fillId="0" borderId="0" xfId="1" applyFont="1" applyFill="1" applyBorder="1" applyAlignment="1"/>
    <xf numFmtId="165" fontId="5" fillId="0" borderId="0" xfId="1" applyFont="1" applyFill="1" applyBorder="1" applyAlignment="1"/>
    <xf numFmtId="165" fontId="30" fillId="0" borderId="0" xfId="4" applyNumberFormat="1" applyFont="1" applyFill="1" applyBorder="1" applyAlignment="1"/>
    <xf numFmtId="2" fontId="30" fillId="0" borderId="0" xfId="4" applyNumberFormat="1" applyFont="1" applyFill="1" applyBorder="1" applyAlignment="1">
      <alignment horizontal="right"/>
    </xf>
    <xf numFmtId="175" fontId="30" fillId="0" borderId="0" xfId="4" applyNumberFormat="1" applyFont="1" applyFill="1" applyBorder="1" applyAlignment="1"/>
    <xf numFmtId="0" fontId="11" fillId="0" borderId="0" xfId="6" applyFont="1" applyFill="1" applyBorder="1" applyAlignment="1">
      <alignment horizontal="center"/>
    </xf>
    <xf numFmtId="165" fontId="11" fillId="0" borderId="0" xfId="6" applyNumberFormat="1" applyFont="1" applyFill="1" applyBorder="1" applyAlignment="1"/>
    <xf numFmtId="10" fontId="30" fillId="0" borderId="0" xfId="4" applyNumberFormat="1" applyFont="1" applyFill="1" applyBorder="1" applyAlignment="1"/>
    <xf numFmtId="165" fontId="30" fillId="0" borderId="0" xfId="4" applyNumberFormat="1" applyFont="1" applyFill="1" applyBorder="1" applyAlignment="1">
      <alignment wrapText="1"/>
    </xf>
    <xf numFmtId="2" fontId="30" fillId="0" borderId="0" xfId="4" applyNumberFormat="1" applyFont="1" applyFill="1" applyBorder="1" applyAlignment="1">
      <alignment horizontal="right" wrapText="1"/>
    </xf>
    <xf numFmtId="175" fontId="30" fillId="0" borderId="0" xfId="4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8" fillId="0" borderId="0" xfId="0" applyFont="1"/>
    <xf numFmtId="0" fontId="5" fillId="0" borderId="0" xfId="0" applyFont="1" applyAlignment="1">
      <alignment horizontal="center" vertical="center"/>
    </xf>
    <xf numFmtId="166" fontId="12" fillId="0" borderId="0" xfId="0" applyNumberFormat="1" applyFont="1" applyAlignment="1">
      <alignment horizontal="center"/>
    </xf>
    <xf numFmtId="188" fontId="0" fillId="0" borderId="0" xfId="0" applyNumberFormat="1"/>
    <xf numFmtId="188" fontId="11" fillId="0" borderId="0" xfId="0" applyNumberFormat="1" applyFont="1"/>
    <xf numFmtId="4" fontId="5" fillId="0" borderId="0" xfId="12" applyNumberFormat="1" applyFont="1" applyAlignment="1">
      <alignment vertical="center" wrapText="1"/>
    </xf>
    <xf numFmtId="10" fontId="5" fillId="0" borderId="0" xfId="3" applyNumberFormat="1" applyFont="1" applyAlignment="1">
      <alignment horizontal="center" vertical="center" wrapText="1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5" fontId="5" fillId="0" borderId="0" xfId="0" applyNumberFormat="1" applyFont="1" applyAlignment="1">
      <alignment horizontal="center"/>
    </xf>
    <xf numFmtId="190" fontId="0" fillId="0" borderId="0" xfId="0" applyNumberFormat="1"/>
    <xf numFmtId="40" fontId="0" fillId="0" borderId="0" xfId="0" applyNumberFormat="1"/>
    <xf numFmtId="2" fontId="5" fillId="8" borderId="19" xfId="0" applyNumberFormat="1" applyFont="1" applyFill="1" applyBorder="1" applyAlignment="1">
      <alignment horizontal="center" vertical="top"/>
    </xf>
    <xf numFmtId="2" fontId="7" fillId="8" borderId="19" xfId="0" applyNumberFormat="1" applyFont="1" applyFill="1" applyBorder="1" applyAlignment="1">
      <alignment horizontal="center" vertical="center"/>
    </xf>
    <xf numFmtId="2" fontId="7" fillId="8" borderId="20" xfId="0" applyNumberFormat="1" applyFont="1" applyFill="1" applyBorder="1" applyAlignment="1">
      <alignment horizontal="center" vertical="top"/>
    </xf>
    <xf numFmtId="0" fontId="7" fillId="8" borderId="3" xfId="0" applyFont="1" applyFill="1" applyBorder="1" applyAlignment="1">
      <alignment wrapText="1"/>
    </xf>
    <xf numFmtId="2" fontId="7" fillId="8" borderId="16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left" vertical="center"/>
    </xf>
    <xf numFmtId="0" fontId="33" fillId="8" borderId="3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11" fillId="0" borderId="0" xfId="6" applyFont="1" applyFill="1" applyBorder="1" applyAlignment="1">
      <alignment horizontal="center" wrapText="1"/>
    </xf>
    <xf numFmtId="165" fontId="11" fillId="0" borderId="0" xfId="6" applyNumberFormat="1" applyFont="1" applyFill="1" applyBorder="1" applyAlignment="1">
      <alignment wrapText="1"/>
    </xf>
    <xf numFmtId="192" fontId="5" fillId="0" borderId="0" xfId="1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178" fontId="5" fillId="0" borderId="0" xfId="11" applyNumberFormat="1" applyFont="1" applyBorder="1" applyAlignment="1">
      <alignment wrapText="1"/>
    </xf>
    <xf numFmtId="165" fontId="26" fillId="0" borderId="0" xfId="0" applyNumberFormat="1" applyFont="1"/>
    <xf numFmtId="0" fontId="26" fillId="0" borderId="0" xfId="0" applyFont="1"/>
    <xf numFmtId="0" fontId="35" fillId="0" borderId="0" xfId="0" applyFont="1"/>
    <xf numFmtId="0" fontId="5" fillId="5" borderId="3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wrapText="1"/>
    </xf>
    <xf numFmtId="165" fontId="5" fillId="5" borderId="3" xfId="11" applyFont="1" applyFill="1" applyBorder="1" applyAlignment="1">
      <alignment horizontal="center" wrapText="1"/>
    </xf>
    <xf numFmtId="165" fontId="5" fillId="6" borderId="3" xfId="11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165" fontId="5" fillId="7" borderId="3" xfId="11" applyFont="1" applyFill="1" applyBorder="1" applyAlignment="1">
      <alignment horizontal="center" wrapText="1"/>
    </xf>
    <xf numFmtId="0" fontId="14" fillId="0" borderId="0" xfId="11" applyNumberFormat="1" applyFont="1" applyBorder="1" applyAlignment="1">
      <alignment horizontal="center" wrapText="1"/>
    </xf>
    <xf numFmtId="1" fontId="12" fillId="8" borderId="3" xfId="0" applyNumberFormat="1" applyFont="1" applyFill="1" applyBorder="1" applyAlignment="1">
      <alignment horizontal="center" vertical="top" wrapText="1"/>
    </xf>
    <xf numFmtId="1" fontId="12" fillId="8" borderId="3" xfId="0" applyNumberFormat="1" applyFont="1" applyFill="1" applyBorder="1" applyAlignment="1">
      <alignment horizontal="left" vertical="top" wrapText="1"/>
    </xf>
    <xf numFmtId="1" fontId="12" fillId="8" borderId="3" xfId="0" applyNumberFormat="1" applyFont="1" applyFill="1" applyBorder="1" applyAlignment="1">
      <alignment horizontal="center" wrapText="1"/>
    </xf>
    <xf numFmtId="39" fontId="11" fillId="13" borderId="3" xfId="11" applyNumberFormat="1" applyFont="1" applyFill="1" applyBorder="1" applyAlignment="1">
      <alignment wrapText="1"/>
    </xf>
    <xf numFmtId="4" fontId="11" fillId="13" borderId="3" xfId="11" applyNumberFormat="1" applyFont="1" applyFill="1" applyBorder="1" applyAlignment="1">
      <alignment wrapText="1"/>
    </xf>
    <xf numFmtId="4" fontId="11" fillId="13" borderId="3" xfId="0" applyNumberFormat="1" applyFont="1" applyFill="1" applyBorder="1" applyAlignment="1">
      <alignment horizontal="right" wrapText="1"/>
    </xf>
    <xf numFmtId="0" fontId="11" fillId="13" borderId="3" xfId="11" applyNumberFormat="1" applyFont="1" applyFill="1" applyBorder="1" applyAlignment="1">
      <alignment wrapText="1"/>
    </xf>
    <xf numFmtId="0" fontId="11" fillId="14" borderId="3" xfId="11" applyNumberFormat="1" applyFont="1" applyFill="1" applyBorder="1" applyAlignment="1">
      <alignment horizontal="center" wrapText="1"/>
    </xf>
    <xf numFmtId="0" fontId="11" fillId="14" borderId="3" xfId="11" applyNumberFormat="1" applyFont="1" applyFill="1" applyBorder="1" applyAlignment="1">
      <alignment wrapText="1"/>
    </xf>
    <xf numFmtId="0" fontId="26" fillId="0" borderId="0" xfId="11" applyNumberFormat="1" applyBorder="1" applyAlignment="1">
      <alignment wrapText="1"/>
    </xf>
    <xf numFmtId="0" fontId="11" fillId="8" borderId="3" xfId="0" applyFont="1" applyFill="1" applyBorder="1" applyAlignment="1">
      <alignment horizontal="center" vertical="top" wrapText="1"/>
    </xf>
    <xf numFmtId="1" fontId="11" fillId="8" borderId="3" xfId="0" applyNumberFormat="1" applyFont="1" applyFill="1" applyBorder="1" applyAlignment="1">
      <alignment horizontal="left" vertical="top" wrapText="1"/>
    </xf>
    <xf numFmtId="4" fontId="11" fillId="8" borderId="3" xfId="0" applyNumberFormat="1" applyFont="1" applyFill="1" applyBorder="1" applyAlignment="1">
      <alignment horizontal="center" wrapText="1"/>
    </xf>
    <xf numFmtId="1" fontId="11" fillId="8" borderId="3" xfId="0" applyNumberFormat="1" applyFont="1" applyFill="1" applyBorder="1" applyAlignment="1">
      <alignment horizontal="center" wrapText="1"/>
    </xf>
    <xf numFmtId="165" fontId="11" fillId="8" borderId="3" xfId="11" applyFont="1" applyFill="1" applyBorder="1" applyAlignment="1">
      <alignment horizontal="center" vertical="top" wrapText="1"/>
    </xf>
    <xf numFmtId="165" fontId="7" fillId="13" borderId="3" xfId="11" applyFont="1" applyFill="1" applyBorder="1"/>
    <xf numFmtId="10" fontId="7" fillId="13" borderId="3" xfId="0" applyNumberFormat="1" applyFont="1" applyFill="1" applyBorder="1" applyAlignment="1">
      <alignment wrapText="1"/>
    </xf>
    <xf numFmtId="165" fontId="7" fillId="14" borderId="3" xfId="11" applyFont="1" applyFill="1" applyBorder="1" applyAlignment="1">
      <alignment horizontal="center"/>
    </xf>
    <xf numFmtId="0" fontId="26" fillId="0" borderId="0" xfId="11" applyNumberFormat="1" applyFont="1" applyBorder="1" applyAlignment="1">
      <alignment wrapText="1"/>
    </xf>
    <xf numFmtId="0" fontId="12" fillId="8" borderId="3" xfId="0" applyFont="1" applyFill="1" applyBorder="1" applyAlignment="1">
      <alignment horizontal="center" vertical="top" wrapText="1"/>
    </xf>
    <xf numFmtId="0" fontId="12" fillId="8" borderId="3" xfId="0" applyFont="1" applyFill="1" applyBorder="1" applyAlignment="1">
      <alignment horizontal="left" vertical="top" wrapText="1"/>
    </xf>
    <xf numFmtId="0" fontId="11" fillId="8" borderId="3" xfId="0" applyFont="1" applyFill="1" applyBorder="1" applyAlignment="1">
      <alignment horizontal="center" wrapText="1"/>
    </xf>
    <xf numFmtId="0" fontId="11" fillId="8" borderId="3" xfId="11" applyNumberFormat="1" applyFont="1" applyFill="1" applyBorder="1" applyAlignment="1">
      <alignment horizontal="center" wrapText="1"/>
    </xf>
    <xf numFmtId="0" fontId="11" fillId="8" borderId="3" xfId="11" applyNumberFormat="1" applyFont="1" applyFill="1" applyBorder="1" applyAlignment="1">
      <alignment wrapText="1"/>
    </xf>
    <xf numFmtId="39" fontId="12" fillId="8" borderId="3" xfId="11" applyNumberFormat="1" applyFont="1" applyFill="1" applyBorder="1" applyAlignment="1">
      <alignment wrapText="1"/>
    </xf>
    <xf numFmtId="0" fontId="12" fillId="13" borderId="3" xfId="11" applyNumberFormat="1" applyFont="1" applyFill="1" applyBorder="1" applyAlignment="1">
      <alignment wrapText="1"/>
    </xf>
    <xf numFmtId="0" fontId="12" fillId="13" borderId="3" xfId="11" applyNumberFormat="1" applyFont="1" applyFill="1" applyBorder="1" applyAlignment="1">
      <alignment horizontal="right" wrapText="1"/>
    </xf>
    <xf numFmtId="165" fontId="12" fillId="14" borderId="3" xfId="11" applyFont="1" applyFill="1" applyBorder="1" applyAlignment="1">
      <alignment horizontal="center" wrapText="1"/>
    </xf>
    <xf numFmtId="0" fontId="12" fillId="8" borderId="3" xfId="0" applyFont="1" applyFill="1" applyBorder="1" applyAlignment="1">
      <alignment wrapText="1"/>
    </xf>
    <xf numFmtId="4" fontId="11" fillId="8" borderId="3" xfId="0" applyNumberFormat="1" applyFont="1" applyFill="1" applyBorder="1" applyAlignment="1">
      <alignment wrapText="1"/>
    </xf>
    <xf numFmtId="0" fontId="11" fillId="13" borderId="3" xfId="0" applyFont="1" applyFill="1" applyBorder="1" applyAlignment="1">
      <alignment wrapText="1"/>
    </xf>
    <xf numFmtId="39" fontId="11" fillId="8" borderId="3" xfId="11" applyNumberFormat="1" applyFont="1" applyFill="1" applyBorder="1" applyAlignment="1">
      <alignment wrapText="1"/>
    </xf>
    <xf numFmtId="0" fontId="11" fillId="8" borderId="3" xfId="0" applyFont="1" applyFill="1" applyBorder="1" applyAlignment="1">
      <alignment horizontal="center" vertical="center" wrapText="1"/>
    </xf>
    <xf numFmtId="4" fontId="11" fillId="8" borderId="3" xfId="0" applyNumberFormat="1" applyFont="1" applyFill="1" applyBorder="1" applyAlignment="1">
      <alignment horizontal="center" vertical="center" wrapText="1"/>
    </xf>
    <xf numFmtId="39" fontId="11" fillId="8" borderId="3" xfId="11" applyNumberFormat="1" applyFont="1" applyFill="1" applyBorder="1" applyAlignment="1">
      <alignment vertical="center" wrapText="1"/>
    </xf>
    <xf numFmtId="0" fontId="14" fillId="0" borderId="0" xfId="11" applyNumberFormat="1" applyFont="1" applyBorder="1" applyAlignment="1">
      <alignment wrapText="1"/>
    </xf>
    <xf numFmtId="0" fontId="14" fillId="0" borderId="0" xfId="0" applyFont="1"/>
    <xf numFmtId="2" fontId="11" fillId="8" borderId="3" xfId="0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4" fontId="12" fillId="8" borderId="3" xfId="0" applyNumberFormat="1" applyFont="1" applyFill="1" applyBorder="1" applyAlignment="1">
      <alignment horizontal="center" wrapText="1"/>
    </xf>
    <xf numFmtId="0" fontId="12" fillId="8" borderId="3" xfId="11" applyNumberFormat="1" applyFont="1" applyFill="1" applyBorder="1" applyAlignment="1">
      <alignment horizontal="center" wrapText="1"/>
    </xf>
    <xf numFmtId="0" fontId="12" fillId="8" borderId="3" xfId="11" applyNumberFormat="1" applyFont="1" applyFill="1" applyBorder="1" applyAlignment="1">
      <alignment wrapText="1"/>
    </xf>
    <xf numFmtId="0" fontId="11" fillId="13" borderId="3" xfId="11" applyNumberFormat="1" applyFont="1" applyFill="1" applyBorder="1" applyAlignment="1">
      <alignment horizontal="right" wrapText="1"/>
    </xf>
    <xf numFmtId="165" fontId="11" fillId="14" borderId="3" xfId="11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left" wrapText="1"/>
    </xf>
    <xf numFmtId="39" fontId="12" fillId="13" borderId="3" xfId="11" applyNumberFormat="1" applyFont="1" applyFill="1" applyBorder="1" applyAlignment="1">
      <alignment wrapText="1"/>
    </xf>
    <xf numFmtId="0" fontId="12" fillId="14" borderId="3" xfId="11" applyNumberFormat="1" applyFont="1" applyFill="1" applyBorder="1" applyAlignment="1">
      <alignment horizontal="center" wrapText="1"/>
    </xf>
    <xf numFmtId="165" fontId="11" fillId="13" borderId="3" xfId="11" applyFont="1" applyFill="1" applyBorder="1" applyAlignment="1">
      <alignment wrapText="1"/>
    </xf>
    <xf numFmtId="165" fontId="11" fillId="8" borderId="3" xfId="11" applyFont="1" applyFill="1" applyBorder="1" applyAlignment="1">
      <alignment wrapText="1"/>
    </xf>
    <xf numFmtId="0" fontId="12" fillId="8" borderId="3" xfId="0" applyFont="1" applyFill="1" applyBorder="1" applyAlignment="1">
      <alignment vertical="center" wrapText="1"/>
    </xf>
    <xf numFmtId="0" fontId="12" fillId="8" borderId="3" xfId="0" applyFont="1" applyFill="1" applyBorder="1" applyAlignment="1">
      <alignment horizontal="center" wrapText="1"/>
    </xf>
    <xf numFmtId="0" fontId="11" fillId="8" borderId="3" xfId="0" applyFont="1" applyFill="1" applyBorder="1" applyAlignment="1">
      <alignment vertical="center" wrapText="1"/>
    </xf>
    <xf numFmtId="0" fontId="11" fillId="8" borderId="3" xfId="0" applyFont="1" applyFill="1" applyBorder="1" applyAlignment="1">
      <alignment horizontal="left" vertical="center" wrapText="1"/>
    </xf>
    <xf numFmtId="165" fontId="11" fillId="8" borderId="3" xfId="11" applyFont="1" applyFill="1" applyBorder="1" applyAlignment="1">
      <alignment vertical="center" wrapText="1"/>
    </xf>
    <xf numFmtId="1" fontId="11" fillId="8" borderId="3" xfId="0" applyNumberFormat="1" applyFont="1" applyFill="1" applyBorder="1" applyAlignment="1">
      <alignment horizontal="center" vertical="top" wrapText="1"/>
    </xf>
    <xf numFmtId="2" fontId="11" fillId="8" borderId="3" xfId="0" applyNumberFormat="1" applyFont="1" applyFill="1" applyBorder="1" applyAlignment="1">
      <alignment horizontal="center" vertical="top" wrapText="1"/>
    </xf>
    <xf numFmtId="0" fontId="11" fillId="8" borderId="3" xfId="11" applyNumberFormat="1" applyFont="1" applyFill="1" applyBorder="1" applyAlignment="1">
      <alignment vertical="center" wrapText="1"/>
    </xf>
    <xf numFmtId="0" fontId="26" fillId="0" borderId="0" xfId="11" applyNumberFormat="1" applyFont="1" applyBorder="1" applyAlignment="1">
      <alignment vertical="center" wrapText="1"/>
    </xf>
    <xf numFmtId="0" fontId="26" fillId="0" borderId="0" xfId="0" applyFont="1" applyAlignment="1">
      <alignment vertical="center"/>
    </xf>
    <xf numFmtId="2" fontId="12" fillId="8" borderId="3" xfId="0" applyNumberFormat="1" applyFont="1" applyFill="1" applyBorder="1" applyAlignment="1">
      <alignment vertical="center" wrapText="1"/>
    </xf>
    <xf numFmtId="2" fontId="12" fillId="8" borderId="3" xfId="0" applyNumberFormat="1" applyFont="1" applyFill="1" applyBorder="1" applyAlignment="1">
      <alignment horizontal="center" wrapText="1"/>
    </xf>
    <xf numFmtId="2" fontId="12" fillId="8" borderId="3" xfId="11" applyNumberFormat="1" applyFont="1" applyFill="1" applyBorder="1" applyAlignment="1">
      <alignment horizontal="center" wrapText="1"/>
    </xf>
    <xf numFmtId="2" fontId="12" fillId="8" borderId="3" xfId="11" applyNumberFormat="1" applyFont="1" applyFill="1" applyBorder="1" applyAlignment="1">
      <alignment wrapText="1"/>
    </xf>
    <xf numFmtId="2" fontId="12" fillId="8" borderId="3" xfId="0" applyNumberFormat="1" applyFont="1" applyFill="1" applyBorder="1" applyAlignment="1">
      <alignment horizontal="center" vertical="top" wrapText="1"/>
    </xf>
    <xf numFmtId="0" fontId="11" fillId="13" borderId="3" xfId="0" applyFont="1" applyFill="1" applyBorder="1" applyAlignment="1">
      <alignment horizontal="right" wrapText="1"/>
    </xf>
    <xf numFmtId="0" fontId="11" fillId="14" borderId="3" xfId="0" applyFont="1" applyFill="1" applyBorder="1" applyAlignment="1">
      <alignment horizontal="center" wrapText="1"/>
    </xf>
    <xf numFmtId="4" fontId="11" fillId="8" borderId="3" xfId="11" applyNumberFormat="1" applyFont="1" applyFill="1" applyBorder="1" applyAlignment="1">
      <alignment wrapText="1"/>
    </xf>
    <xf numFmtId="4" fontId="11" fillId="8" borderId="3" xfId="11" applyNumberFormat="1" applyFont="1" applyFill="1" applyBorder="1" applyAlignment="1">
      <alignment vertical="center" wrapText="1"/>
    </xf>
    <xf numFmtId="0" fontId="11" fillId="13" borderId="3" xfId="11" applyNumberFormat="1" applyFont="1" applyFill="1" applyBorder="1" applyAlignment="1">
      <alignment vertical="center" wrapText="1"/>
    </xf>
    <xf numFmtId="0" fontId="12" fillId="8" borderId="5" xfId="0" applyFont="1" applyFill="1" applyBorder="1" applyAlignment="1">
      <alignment wrapText="1"/>
    </xf>
    <xf numFmtId="0" fontId="12" fillId="13" borderId="3" xfId="0" applyFont="1" applyFill="1" applyBorder="1" applyAlignment="1">
      <alignment horizontal="right" wrapText="1"/>
    </xf>
    <xf numFmtId="0" fontId="12" fillId="14" borderId="3" xfId="0" applyFont="1" applyFill="1" applyBorder="1" applyAlignment="1">
      <alignment horizontal="center" wrapText="1"/>
    </xf>
    <xf numFmtId="0" fontId="12" fillId="14" borderId="3" xfId="11" applyNumberFormat="1" applyFont="1" applyFill="1" applyBorder="1" applyAlignment="1">
      <alignment wrapText="1"/>
    </xf>
    <xf numFmtId="0" fontId="36" fillId="0" borderId="0" xfId="11" applyNumberFormat="1" applyFont="1" applyBorder="1" applyAlignment="1">
      <alignment vertical="center" wrapText="1"/>
    </xf>
    <xf numFmtId="0" fontId="36" fillId="0" borderId="0" xfId="0" applyFont="1" applyAlignment="1">
      <alignment vertical="center"/>
    </xf>
    <xf numFmtId="0" fontId="26" fillId="0" borderId="0" xfId="11" applyNumberFormat="1" applyBorder="1" applyAlignment="1">
      <alignment vertical="center" wrapText="1"/>
    </xf>
    <xf numFmtId="0" fontId="0" fillId="0" borderId="0" xfId="0" applyAlignment="1">
      <alignment vertical="center"/>
    </xf>
    <xf numFmtId="39" fontId="11" fillId="13" borderId="3" xfId="11" applyNumberFormat="1" applyFont="1" applyFill="1" applyBorder="1" applyAlignment="1">
      <alignment vertical="center" wrapText="1"/>
    </xf>
    <xf numFmtId="4" fontId="12" fillId="8" borderId="3" xfId="0" applyNumberFormat="1" applyFont="1" applyFill="1" applyBorder="1" applyAlignment="1">
      <alignment horizontal="center" vertical="center" wrapText="1"/>
    </xf>
    <xf numFmtId="0" fontId="12" fillId="8" borderId="3" xfId="11" applyNumberFormat="1" applyFont="1" applyFill="1" applyBorder="1" applyAlignment="1">
      <alignment vertical="center" wrapText="1"/>
    </xf>
    <xf numFmtId="39" fontId="12" fillId="13" borderId="3" xfId="11" applyNumberFormat="1" applyFont="1" applyFill="1" applyBorder="1" applyAlignment="1">
      <alignment vertical="center" wrapText="1"/>
    </xf>
    <xf numFmtId="0" fontId="12" fillId="13" borderId="3" xfId="11" applyNumberFormat="1" applyFont="1" applyFill="1" applyBorder="1" applyAlignment="1">
      <alignment vertical="center" wrapText="1"/>
    </xf>
    <xf numFmtId="0" fontId="12" fillId="13" borderId="3" xfId="11" applyNumberFormat="1" applyFont="1" applyFill="1" applyBorder="1" applyAlignment="1">
      <alignment horizontal="right" vertical="center" wrapText="1"/>
    </xf>
    <xf numFmtId="0" fontId="12" fillId="14" borderId="3" xfId="11" applyNumberFormat="1" applyFont="1" applyFill="1" applyBorder="1" applyAlignment="1">
      <alignment horizontal="center" vertical="center" wrapText="1"/>
    </xf>
    <xf numFmtId="0" fontId="14" fillId="0" borderId="0" xfId="11" applyNumberFormat="1" applyFont="1" applyBorder="1" applyAlignment="1">
      <alignment vertical="center" wrapText="1"/>
    </xf>
    <xf numFmtId="0" fontId="14" fillId="0" borderId="0" xfId="0" applyFont="1" applyAlignment="1">
      <alignment vertical="center"/>
    </xf>
    <xf numFmtId="2" fontId="11" fillId="13" borderId="3" xfId="11" applyNumberFormat="1" applyFont="1" applyFill="1" applyBorder="1" applyAlignment="1">
      <alignment wrapText="1"/>
    </xf>
    <xf numFmtId="0" fontId="36" fillId="0" borderId="0" xfId="11" applyNumberFormat="1" applyFont="1" applyBorder="1" applyAlignment="1">
      <alignment wrapText="1"/>
    </xf>
    <xf numFmtId="0" fontId="36" fillId="0" borderId="0" xfId="0" applyFont="1"/>
    <xf numFmtId="2" fontId="11" fillId="8" borderId="3" xfId="11" applyNumberFormat="1" applyFont="1" applyFill="1" applyBorder="1" applyAlignment="1">
      <alignment vertical="center" wrapText="1"/>
    </xf>
    <xf numFmtId="165" fontId="12" fillId="14" borderId="3" xfId="0" applyNumberFormat="1" applyFont="1" applyFill="1" applyBorder="1" applyAlignment="1">
      <alignment horizontal="center" wrapText="1"/>
    </xf>
    <xf numFmtId="165" fontId="12" fillId="14" borderId="3" xfId="11" applyFont="1" applyFill="1" applyBorder="1" applyAlignment="1">
      <alignment wrapText="1"/>
    </xf>
    <xf numFmtId="0" fontId="37" fillId="0" borderId="0" xfId="11" applyNumberFormat="1" applyFont="1" applyBorder="1" applyAlignment="1">
      <alignment wrapText="1"/>
    </xf>
    <xf numFmtId="0" fontId="37" fillId="0" borderId="0" xfId="11" applyNumberFormat="1" applyFont="1" applyBorder="1" applyAlignment="1">
      <alignment vertical="center" wrapText="1"/>
    </xf>
    <xf numFmtId="0" fontId="12" fillId="13" borderId="3" xfId="0" applyFont="1" applyFill="1" applyBorder="1" applyAlignment="1">
      <alignment wrapText="1"/>
    </xf>
    <xf numFmtId="165" fontId="12" fillId="8" borderId="3" xfId="11" applyFont="1" applyFill="1" applyBorder="1" applyAlignment="1">
      <alignment wrapText="1"/>
    </xf>
    <xf numFmtId="165" fontId="12" fillId="8" borderId="3" xfId="0" applyNumberFormat="1" applyFont="1" applyFill="1" applyBorder="1" applyAlignment="1">
      <alignment horizontal="center" wrapText="1"/>
    </xf>
    <xf numFmtId="0" fontId="14" fillId="0" borderId="21" xfId="11" applyNumberFormat="1" applyFont="1" applyBorder="1" applyAlignment="1">
      <alignment wrapText="1"/>
    </xf>
    <xf numFmtId="0" fontId="14" fillId="0" borderId="21" xfId="0" applyFont="1" applyBorder="1"/>
    <xf numFmtId="0" fontId="11" fillId="8" borderId="3" xfId="0" applyFont="1" applyFill="1" applyBorder="1" applyAlignment="1">
      <alignment horizontal="left" vertical="top" wrapText="1"/>
    </xf>
    <xf numFmtId="4" fontId="11" fillId="8" borderId="3" xfId="0" applyNumberFormat="1" applyFont="1" applyFill="1" applyBorder="1" applyAlignment="1">
      <alignment horizontal="right" wrapText="1"/>
    </xf>
    <xf numFmtId="2" fontId="11" fillId="8" borderId="3" xfId="0" applyNumberFormat="1" applyFont="1" applyFill="1" applyBorder="1" applyAlignment="1">
      <alignment horizontal="right" wrapText="1"/>
    </xf>
    <xf numFmtId="165" fontId="12" fillId="8" borderId="3" xfId="11" applyFont="1" applyFill="1" applyBorder="1" applyAlignment="1">
      <alignment horizontal="center" vertical="top" wrapText="1"/>
    </xf>
    <xf numFmtId="165" fontId="26" fillId="0" borderId="0" xfId="11" applyBorder="1" applyAlignment="1">
      <alignment wrapText="1"/>
    </xf>
    <xf numFmtId="39" fontId="9" fillId="8" borderId="3" xfId="11" applyNumberFormat="1" applyFont="1" applyFill="1" applyBorder="1" applyAlignment="1">
      <alignment wrapText="1"/>
    </xf>
    <xf numFmtId="0" fontId="13" fillId="0" borderId="0" xfId="8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78" fontId="5" fillId="0" borderId="0" xfId="11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right" wrapText="1"/>
    </xf>
    <xf numFmtId="166" fontId="5" fillId="0" borderId="0" xfId="0" applyNumberFormat="1" applyFont="1" applyAlignment="1">
      <alignment horizontal="left" wrapText="1"/>
    </xf>
    <xf numFmtId="17" fontId="5" fillId="0" borderId="0" xfId="0" applyNumberFormat="1" applyFont="1" applyAlignment="1">
      <alignment horizontal="right" wrapText="1"/>
    </xf>
    <xf numFmtId="14" fontId="5" fillId="0" borderId="0" xfId="0" applyNumberFormat="1" applyFont="1" applyAlignment="1">
      <alignment wrapText="1"/>
    </xf>
    <xf numFmtId="178" fontId="19" fillId="0" borderId="0" xfId="11" applyNumberFormat="1" applyFont="1" applyBorder="1" applyAlignment="1">
      <alignment horizontal="center" wrapText="1"/>
    </xf>
    <xf numFmtId="181" fontId="7" fillId="0" borderId="0" xfId="11" applyNumberFormat="1" applyFont="1" applyBorder="1" applyAlignment="1">
      <alignment wrapText="1"/>
    </xf>
    <xf numFmtId="178" fontId="5" fillId="0" borderId="0" xfId="0" applyNumberFormat="1" applyFont="1" applyAlignment="1">
      <alignment horizontal="center" wrapText="1"/>
    </xf>
    <xf numFmtId="178" fontId="5" fillId="0" borderId="0" xfId="0" applyNumberFormat="1" applyFont="1" applyAlignment="1">
      <alignment wrapText="1"/>
    </xf>
    <xf numFmtId="179" fontId="5" fillId="0" borderId="0" xfId="0" applyNumberFormat="1" applyFont="1" applyAlignment="1">
      <alignment horizontal="center" wrapText="1"/>
    </xf>
    <xf numFmtId="193" fontId="5" fillId="0" borderId="0" xfId="0" applyNumberFormat="1" applyFont="1" applyAlignment="1">
      <alignment horizontal="center" wrapText="1"/>
    </xf>
    <xf numFmtId="180" fontId="5" fillId="0" borderId="0" xfId="0" applyNumberFormat="1" applyFont="1" applyAlignment="1">
      <alignment horizontal="center" wrapText="1"/>
    </xf>
    <xf numFmtId="179" fontId="38" fillId="0" borderId="0" xfId="0" applyNumberFormat="1" applyFont="1" applyAlignment="1">
      <alignment horizontal="center" wrapText="1"/>
    </xf>
    <xf numFmtId="9" fontId="5" fillId="0" borderId="0" xfId="0" applyNumberFormat="1" applyFont="1" applyAlignment="1">
      <alignment horizontal="center" wrapText="1"/>
    </xf>
    <xf numFmtId="179" fontId="19" fillId="0" borderId="0" xfId="0" applyNumberFormat="1" applyFont="1" applyAlignment="1">
      <alignment horizontal="center" wrapText="1"/>
    </xf>
    <xf numFmtId="9" fontId="5" fillId="0" borderId="0" xfId="3" applyFont="1" applyBorder="1" applyAlignment="1">
      <alignment horizontal="center" wrapText="1"/>
    </xf>
    <xf numFmtId="181" fontId="5" fillId="0" borderId="0" xfId="0" applyNumberFormat="1" applyFont="1" applyAlignment="1">
      <alignment horizontal="center" wrapText="1"/>
    </xf>
    <xf numFmtId="180" fontId="29" fillId="0" borderId="0" xfId="0" applyNumberFormat="1" applyFont="1" applyAlignment="1">
      <alignment horizontal="center" wrapText="1"/>
    </xf>
    <xf numFmtId="178" fontId="29" fillId="0" borderId="0" xfId="11" applyNumberFormat="1" applyFont="1" applyBorder="1" applyAlignment="1">
      <alignment horizontal="center" wrapText="1"/>
    </xf>
    <xf numFmtId="9" fontId="19" fillId="0" borderId="0" xfId="0" applyNumberFormat="1" applyFont="1" applyAlignment="1">
      <alignment horizontal="center" wrapText="1"/>
    </xf>
    <xf numFmtId="179" fontId="19" fillId="0" borderId="0" xfId="0" applyNumberFormat="1" applyFont="1" applyAlignment="1">
      <alignment horizontal="center" vertical="top" wrapText="1"/>
    </xf>
    <xf numFmtId="178" fontId="19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 vertical="top" wrapText="1"/>
    </xf>
    <xf numFmtId="165" fontId="5" fillId="0" borderId="0" xfId="11" applyFont="1" applyBorder="1" applyAlignment="1">
      <alignment wrapText="1"/>
    </xf>
    <xf numFmtId="179" fontId="7" fillId="0" borderId="0" xfId="11" applyNumberFormat="1" applyFont="1" applyBorder="1" applyAlignment="1">
      <alignment wrapText="1"/>
    </xf>
    <xf numFmtId="181" fontId="7" fillId="0" borderId="0" xfId="0" applyNumberFormat="1" applyFont="1" applyAlignment="1">
      <alignment horizontal="center" wrapText="1"/>
    </xf>
    <xf numFmtId="165" fontId="7" fillId="0" borderId="0" xfId="11" applyFont="1" applyBorder="1" applyAlignment="1">
      <alignment wrapText="1"/>
    </xf>
    <xf numFmtId="0" fontId="19" fillId="0" borderId="0" xfId="0" applyFont="1" applyAlignment="1">
      <alignment horizontal="center" wrapText="1"/>
    </xf>
    <xf numFmtId="180" fontId="19" fillId="0" borderId="0" xfId="0" applyNumberFormat="1" applyFont="1" applyAlignment="1">
      <alignment horizontal="center" wrapText="1"/>
    </xf>
    <xf numFmtId="9" fontId="12" fillId="0" borderId="0" xfId="0" applyNumberFormat="1" applyFont="1" applyAlignment="1">
      <alignment horizontal="center" wrapText="1"/>
    </xf>
    <xf numFmtId="178" fontId="12" fillId="0" borderId="0" xfId="11" applyNumberFormat="1" applyFont="1" applyBorder="1" applyAlignment="1">
      <alignment horizontal="center" wrapText="1"/>
    </xf>
    <xf numFmtId="179" fontId="7" fillId="0" borderId="0" xfId="0" applyNumberFormat="1" applyFont="1" applyAlignment="1">
      <alignment horizontal="center" wrapText="1"/>
    </xf>
    <xf numFmtId="194" fontId="7" fillId="0" borderId="0" xfId="0" applyNumberFormat="1" applyFont="1" applyAlignment="1">
      <alignment horizontal="center" wrapText="1"/>
    </xf>
    <xf numFmtId="178" fontId="19" fillId="0" borderId="0" xfId="0" applyNumberFormat="1" applyFont="1" applyAlignment="1">
      <alignment wrapText="1"/>
    </xf>
    <xf numFmtId="0" fontId="39" fillId="0" borderId="0" xfId="0" applyFont="1" applyAlignment="1">
      <alignment horizontal="center"/>
    </xf>
    <xf numFmtId="10" fontId="5" fillId="0" borderId="0" xfId="0" applyNumberFormat="1" applyFont="1" applyAlignment="1">
      <alignment horizontal="center" wrapText="1"/>
    </xf>
    <xf numFmtId="9" fontId="7" fillId="0" borderId="0" xfId="0" applyNumberFormat="1" applyFont="1" applyAlignment="1">
      <alignment horizontal="center" wrapText="1"/>
    </xf>
    <xf numFmtId="0" fontId="21" fillId="0" borderId="0" xfId="0" applyFont="1" applyAlignment="1">
      <alignment horizontal="left" wrapText="1"/>
    </xf>
    <xf numFmtId="4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39" fontId="26" fillId="0" borderId="0" xfId="11" applyNumberFormat="1" applyBorder="1" applyAlignment="1">
      <alignment wrapText="1"/>
    </xf>
    <xf numFmtId="4" fontId="39" fillId="0" borderId="0" xfId="0" applyNumberFormat="1" applyFont="1" applyAlignment="1">
      <alignment horizontal="center"/>
    </xf>
    <xf numFmtId="10" fontId="0" fillId="0" borderId="0" xfId="0" applyNumberFormat="1"/>
    <xf numFmtId="4" fontId="5" fillId="0" borderId="0" xfId="0" applyNumberFormat="1" applyFont="1" applyAlignment="1">
      <alignment horizontal="center" wrapText="1"/>
    </xf>
    <xf numFmtId="172" fontId="0" fillId="0" borderId="0" xfId="0" applyNumberFormat="1" applyAlignment="1">
      <alignment wrapText="1"/>
    </xf>
    <xf numFmtId="0" fontId="6" fillId="0" borderId="0" xfId="0" applyFont="1" applyAlignment="1">
      <alignment horizontal="right"/>
    </xf>
    <xf numFmtId="165" fontId="11" fillId="0" borderId="0" xfId="1" applyFont="1" applyBorder="1"/>
    <xf numFmtId="178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0" fontId="8" fillId="5" borderId="3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wrapText="1"/>
    </xf>
    <xf numFmtId="165" fontId="8" fillId="5" borderId="3" xfId="1" applyFont="1" applyFill="1" applyBorder="1" applyAlignment="1">
      <alignment horizontal="center" wrapText="1"/>
    </xf>
    <xf numFmtId="165" fontId="8" fillId="5" borderId="3" xfId="1" applyFont="1" applyFill="1" applyBorder="1" applyAlignment="1">
      <alignment horizontal="right" wrapText="1"/>
    </xf>
    <xf numFmtId="165" fontId="8" fillId="6" borderId="3" xfId="1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165" fontId="8" fillId="7" borderId="3" xfId="1" applyFont="1" applyFill="1" applyBorder="1" applyAlignment="1">
      <alignment horizontal="center" wrapText="1"/>
    </xf>
    <xf numFmtId="2" fontId="8" fillId="8" borderId="3" xfId="0" applyNumberFormat="1" applyFont="1" applyFill="1" applyBorder="1" applyAlignment="1">
      <alignment horizontal="center" vertical="top" wrapText="1"/>
    </xf>
    <xf numFmtId="0" fontId="13" fillId="8" borderId="3" xfId="0" applyFont="1" applyFill="1" applyBorder="1" applyAlignment="1">
      <alignment horizontal="center" wrapText="1"/>
    </xf>
    <xf numFmtId="0" fontId="13" fillId="8" borderId="3" xfId="1" applyNumberFormat="1" applyFont="1" applyFill="1" applyBorder="1" applyAlignment="1">
      <alignment wrapText="1"/>
    </xf>
    <xf numFmtId="0" fontId="13" fillId="8" borderId="3" xfId="1" applyNumberFormat="1" applyFont="1" applyFill="1" applyBorder="1" applyAlignment="1">
      <alignment horizontal="right" wrapText="1"/>
    </xf>
    <xf numFmtId="165" fontId="13" fillId="13" borderId="3" xfId="1" applyFont="1" applyFill="1" applyBorder="1" applyAlignment="1">
      <alignment wrapText="1"/>
    </xf>
    <xf numFmtId="0" fontId="8" fillId="13" borderId="3" xfId="0" applyFont="1" applyFill="1" applyBorder="1" applyAlignment="1">
      <alignment horizontal="left" vertical="top" wrapText="1"/>
    </xf>
    <xf numFmtId="0" fontId="8" fillId="13" borderId="3" xfId="0" applyFont="1" applyFill="1" applyBorder="1" applyAlignment="1">
      <alignment wrapText="1"/>
    </xf>
    <xf numFmtId="0" fontId="13" fillId="14" borderId="3" xfId="0" applyFont="1" applyFill="1" applyBorder="1" applyAlignment="1">
      <alignment horizontal="center" wrapText="1"/>
    </xf>
    <xf numFmtId="165" fontId="13" fillId="14" borderId="3" xfId="1" applyFont="1" applyFill="1" applyBorder="1" applyAlignment="1">
      <alignment wrapText="1"/>
    </xf>
    <xf numFmtId="2" fontId="13" fillId="8" borderId="3" xfId="0" applyNumberFormat="1" applyFont="1" applyFill="1" applyBorder="1" applyAlignment="1">
      <alignment horizontal="center" vertical="top" wrapText="1"/>
    </xf>
    <xf numFmtId="4" fontId="13" fillId="8" borderId="3" xfId="0" applyNumberFormat="1" applyFont="1" applyFill="1" applyBorder="1" applyAlignment="1">
      <alignment horizontal="center" wrapText="1"/>
    </xf>
    <xf numFmtId="0" fontId="13" fillId="8" borderId="3" xfId="1" applyNumberFormat="1" applyFont="1" applyFill="1" applyBorder="1" applyAlignment="1">
      <alignment horizontal="center" wrapText="1"/>
    </xf>
    <xf numFmtId="196" fontId="13" fillId="8" borderId="3" xfId="1" applyNumberFormat="1" applyFont="1" applyFill="1" applyBorder="1" applyAlignment="1">
      <alignment wrapText="1"/>
    </xf>
    <xf numFmtId="4" fontId="13" fillId="8" borderId="3" xfId="1" applyNumberFormat="1" applyFont="1" applyFill="1" applyBorder="1" applyAlignment="1">
      <alignment horizontal="right" wrapText="1"/>
    </xf>
    <xf numFmtId="2" fontId="13" fillId="13" borderId="3" xfId="0" applyNumberFormat="1" applyFont="1" applyFill="1" applyBorder="1" applyAlignment="1">
      <alignment horizontal="right" wrapText="1"/>
    </xf>
    <xf numFmtId="10" fontId="13" fillId="13" borderId="3" xfId="1" applyNumberFormat="1" applyFont="1" applyFill="1" applyBorder="1" applyAlignment="1">
      <alignment wrapText="1"/>
    </xf>
    <xf numFmtId="39" fontId="0" fillId="0" borderId="0" xfId="0" applyNumberFormat="1"/>
    <xf numFmtId="2" fontId="13" fillId="8" borderId="3" xfId="0" applyNumberFormat="1" applyFont="1" applyFill="1" applyBorder="1" applyAlignment="1">
      <alignment horizontal="center" wrapText="1"/>
    </xf>
    <xf numFmtId="170" fontId="13" fillId="8" borderId="3" xfId="1" applyNumberFormat="1" applyFont="1" applyFill="1" applyBorder="1" applyAlignment="1">
      <alignment wrapText="1"/>
    </xf>
    <xf numFmtId="0" fontId="13" fillId="8" borderId="3" xfId="0" applyFont="1" applyFill="1" applyBorder="1" applyAlignment="1">
      <alignment horizontal="center" vertical="top" wrapText="1"/>
    </xf>
    <xf numFmtId="0" fontId="8" fillId="8" borderId="3" xfId="0" applyFont="1" applyFill="1" applyBorder="1" applyAlignment="1">
      <alignment horizontal="center" wrapText="1"/>
    </xf>
    <xf numFmtId="0" fontId="8" fillId="8" borderId="3" xfId="1" applyNumberFormat="1" applyFont="1" applyFill="1" applyBorder="1" applyAlignment="1">
      <alignment horizontal="center" wrapText="1"/>
    </xf>
    <xf numFmtId="0" fontId="8" fillId="8" borderId="3" xfId="1" applyNumberFormat="1" applyFont="1" applyFill="1" applyBorder="1" applyAlignment="1">
      <alignment wrapText="1"/>
    </xf>
    <xf numFmtId="178" fontId="8" fillId="8" borderId="3" xfId="1" applyNumberFormat="1" applyFont="1" applyFill="1" applyBorder="1" applyAlignment="1">
      <alignment horizontal="right" wrapText="1"/>
    </xf>
    <xf numFmtId="175" fontId="13" fillId="13" borderId="3" xfId="1" applyNumberFormat="1" applyFont="1" applyFill="1" applyBorder="1" applyAlignment="1">
      <alignment wrapText="1"/>
    </xf>
    <xf numFmtId="186" fontId="8" fillId="14" borderId="3" xfId="1" applyNumberFormat="1" applyFont="1" applyFill="1" applyBorder="1" applyAlignment="1">
      <alignment wrapText="1"/>
    </xf>
    <xf numFmtId="2" fontId="13" fillId="8" borderId="3" xfId="0" applyNumberFormat="1" applyFont="1" applyFill="1" applyBorder="1" applyAlignment="1">
      <alignment horizontal="center" vertical="center" wrapText="1"/>
    </xf>
    <xf numFmtId="2" fontId="13" fillId="8" borderId="3" xfId="1" applyNumberFormat="1" applyFont="1" applyFill="1" applyBorder="1" applyAlignment="1">
      <alignment wrapText="1"/>
    </xf>
    <xf numFmtId="0" fontId="8" fillId="8" borderId="3" xfId="0" applyFont="1" applyFill="1" applyBorder="1" applyAlignment="1">
      <alignment horizontal="center" vertical="center" wrapText="1"/>
    </xf>
    <xf numFmtId="178" fontId="8" fillId="14" borderId="3" xfId="1" applyNumberFormat="1" applyFont="1" applyFill="1" applyBorder="1" applyAlignment="1">
      <alignment wrapText="1"/>
    </xf>
    <xf numFmtId="4" fontId="13" fillId="14" borderId="3" xfId="0" applyNumberFormat="1" applyFont="1" applyFill="1" applyBorder="1" applyAlignment="1">
      <alignment wrapText="1"/>
    </xf>
    <xf numFmtId="0" fontId="10" fillId="8" borderId="3" xfId="0" applyFont="1" applyFill="1" applyBorder="1" applyAlignment="1">
      <alignment horizontal="left" wrapText="1"/>
    </xf>
    <xf numFmtId="2" fontId="10" fillId="8" borderId="3" xfId="0" applyNumberFormat="1" applyFont="1" applyFill="1" applyBorder="1" applyAlignment="1">
      <alignment horizontal="center" wrapText="1"/>
    </xf>
    <xf numFmtId="0" fontId="10" fillId="8" borderId="3" xfId="1" applyNumberFormat="1" applyFont="1" applyFill="1" applyBorder="1" applyAlignment="1">
      <alignment horizontal="center" wrapText="1"/>
    </xf>
    <xf numFmtId="4" fontId="10" fillId="8" borderId="3" xfId="1" applyNumberFormat="1" applyFont="1" applyFill="1" applyBorder="1" applyAlignment="1">
      <alignment wrapText="1"/>
    </xf>
    <xf numFmtId="0" fontId="9" fillId="8" borderId="3" xfId="0" applyFont="1" applyFill="1" applyBorder="1" applyAlignment="1">
      <alignment horizontal="left" wrapText="1"/>
    </xf>
    <xf numFmtId="2" fontId="9" fillId="8" borderId="3" xfId="0" applyNumberFormat="1" applyFont="1" applyFill="1" applyBorder="1" applyAlignment="1">
      <alignment horizontal="center" wrapText="1"/>
    </xf>
    <xf numFmtId="0" fontId="9" fillId="8" borderId="3" xfId="1" applyNumberFormat="1" applyFont="1" applyFill="1" applyBorder="1" applyAlignment="1">
      <alignment horizontal="center" wrapText="1"/>
    </xf>
    <xf numFmtId="4" fontId="9" fillId="8" borderId="3" xfId="1" applyNumberFormat="1" applyFont="1" applyFill="1" applyBorder="1" applyAlignment="1">
      <alignment wrapText="1"/>
    </xf>
    <xf numFmtId="178" fontId="9" fillId="8" borderId="3" xfId="1" applyNumberFormat="1" applyFont="1" applyFill="1" applyBorder="1" applyAlignment="1">
      <alignment horizontal="right" wrapText="1"/>
    </xf>
    <xf numFmtId="4" fontId="10" fillId="8" borderId="3" xfId="1" applyNumberFormat="1" applyFont="1" applyFill="1" applyBorder="1" applyAlignment="1">
      <alignment horizontal="right" wrapText="1"/>
    </xf>
    <xf numFmtId="4" fontId="13" fillId="8" borderId="3" xfId="1" applyNumberFormat="1" applyFont="1" applyFill="1" applyBorder="1" applyAlignment="1">
      <alignment wrapText="1"/>
    </xf>
    <xf numFmtId="0" fontId="10" fillId="8" borderId="3" xfId="0" applyFont="1" applyFill="1" applyBorder="1" applyAlignment="1">
      <alignment horizontal="center" wrapText="1"/>
    </xf>
    <xf numFmtId="165" fontId="10" fillId="8" borderId="3" xfId="1" applyFont="1" applyFill="1" applyBorder="1" applyAlignment="1">
      <alignment horizontal="center" wrapText="1"/>
    </xf>
    <xf numFmtId="165" fontId="10" fillId="8" borderId="3" xfId="1" applyFont="1" applyFill="1" applyBorder="1" applyAlignment="1">
      <alignment wrapText="1"/>
    </xf>
    <xf numFmtId="0" fontId="10" fillId="8" borderId="3" xfId="0" applyFont="1" applyFill="1" applyBorder="1" applyAlignment="1">
      <alignment horizontal="left" vertical="top" wrapText="1"/>
    </xf>
    <xf numFmtId="0" fontId="10" fillId="8" borderId="3" xfId="0" applyFont="1" applyFill="1" applyBorder="1" applyAlignment="1">
      <alignment horizontal="center" vertical="top" wrapText="1"/>
    </xf>
    <xf numFmtId="165" fontId="10" fillId="8" borderId="3" xfId="1" applyFont="1" applyFill="1" applyBorder="1" applyAlignment="1">
      <alignment horizontal="center" vertical="top" wrapText="1"/>
    </xf>
    <xf numFmtId="165" fontId="10" fillId="8" borderId="3" xfId="1" applyFont="1" applyFill="1" applyBorder="1" applyAlignment="1">
      <alignment vertical="top" wrapText="1"/>
    </xf>
    <xf numFmtId="0" fontId="8" fillId="8" borderId="3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center" vertical="top" wrapText="1"/>
    </xf>
    <xf numFmtId="165" fontId="8" fillId="8" borderId="3" xfId="1" applyFont="1" applyFill="1" applyBorder="1" applyAlignment="1">
      <alignment horizontal="center" vertical="top" wrapText="1"/>
    </xf>
    <xf numFmtId="165" fontId="8" fillId="8" borderId="3" xfId="1" applyFont="1" applyFill="1" applyBorder="1" applyAlignment="1">
      <alignment vertical="top" wrapText="1"/>
    </xf>
    <xf numFmtId="178" fontId="8" fillId="8" borderId="3" xfId="1" applyNumberFormat="1" applyFont="1" applyFill="1" applyBorder="1" applyAlignment="1">
      <alignment horizontal="right" vertical="top" wrapText="1"/>
    </xf>
    <xf numFmtId="2" fontId="9" fillId="3" borderId="1" xfId="5" applyNumberFormat="1" applyFont="1" applyBorder="1" applyAlignment="1">
      <alignment horizontal="center" vertical="top" wrapText="1" shrinkToFit="1"/>
    </xf>
    <xf numFmtId="0" fontId="9" fillId="3" borderId="1" xfId="5" applyFont="1" applyBorder="1" applyAlignment="1">
      <alignment horizontal="left" vertical="top" wrapText="1"/>
    </xf>
    <xf numFmtId="0" fontId="10" fillId="3" borderId="1" xfId="5" applyFont="1" applyBorder="1" applyAlignment="1">
      <alignment horizontal="left" wrapText="1"/>
    </xf>
    <xf numFmtId="0" fontId="10" fillId="3" borderId="1" xfId="5" applyFont="1" applyBorder="1" applyAlignment="1">
      <alignment horizontal="center" wrapText="1"/>
    </xf>
    <xf numFmtId="0" fontId="10" fillId="3" borderId="1" xfId="5" applyFont="1" applyBorder="1" applyAlignment="1">
      <alignment horizontal="right" wrapText="1"/>
    </xf>
    <xf numFmtId="2" fontId="10" fillId="3" borderId="1" xfId="5" applyNumberFormat="1" applyFont="1" applyBorder="1" applyAlignment="1">
      <alignment horizontal="center" vertical="top" wrapText="1" shrinkToFit="1"/>
    </xf>
    <xf numFmtId="0" fontId="10" fillId="3" borderId="1" xfId="5" applyFont="1" applyBorder="1" applyAlignment="1">
      <alignment horizontal="left" vertical="top" wrapText="1"/>
    </xf>
    <xf numFmtId="4" fontId="10" fillId="3" borderId="1" xfId="5" applyNumberFormat="1" applyFont="1" applyBorder="1" applyAlignment="1">
      <alignment horizontal="center" vertical="top" wrapText="1" shrinkToFit="1"/>
    </xf>
    <xf numFmtId="0" fontId="10" fillId="3" borderId="1" xfId="5" applyFont="1" applyBorder="1" applyAlignment="1">
      <alignment horizontal="center" vertical="top" wrapText="1"/>
    </xf>
    <xf numFmtId="2" fontId="10" fillId="3" borderId="1" xfId="5" applyNumberFormat="1" applyFont="1" applyBorder="1" applyAlignment="1">
      <alignment horizontal="right" vertical="top" wrapText="1" shrinkToFit="1"/>
    </xf>
    <xf numFmtId="0" fontId="9" fillId="3" borderId="1" xfId="5" applyFont="1" applyBorder="1" applyAlignment="1">
      <alignment horizontal="left" wrapText="1"/>
    </xf>
    <xf numFmtId="0" fontId="9" fillId="3" borderId="1" xfId="5" applyFont="1" applyBorder="1" applyAlignment="1">
      <alignment horizontal="center" wrapText="1"/>
    </xf>
    <xf numFmtId="178" fontId="9" fillId="3" borderId="1" xfId="5" applyNumberFormat="1" applyFont="1" applyBorder="1" applyAlignment="1">
      <alignment horizontal="right" wrapText="1"/>
    </xf>
    <xf numFmtId="4" fontId="10" fillId="3" borderId="1" xfId="5" applyNumberFormat="1" applyFont="1" applyBorder="1" applyAlignment="1">
      <alignment horizontal="right" vertical="top" wrapText="1" shrinkToFit="1"/>
    </xf>
    <xf numFmtId="2" fontId="10" fillId="3" borderId="1" xfId="5" applyNumberFormat="1" applyFont="1" applyBorder="1" applyAlignment="1">
      <alignment horizontal="center" vertical="center" wrapText="1" shrinkToFit="1"/>
    </xf>
    <xf numFmtId="178" fontId="8" fillId="14" borderId="3" xfId="0" applyNumberFormat="1" applyFont="1" applyFill="1" applyBorder="1" applyAlignment="1">
      <alignment horizontal="center" wrapText="1"/>
    </xf>
    <xf numFmtId="2" fontId="10" fillId="3" borderId="22" xfId="5" applyNumberFormat="1" applyFont="1" applyBorder="1" applyAlignment="1">
      <alignment horizontal="center" vertical="top" wrapText="1" shrinkToFit="1"/>
    </xf>
    <xf numFmtId="0" fontId="10" fillId="3" borderId="22" xfId="5" applyFont="1" applyBorder="1" applyAlignment="1">
      <alignment horizontal="left" vertical="top" wrapText="1"/>
    </xf>
    <xf numFmtId="0" fontId="10" fillId="3" borderId="22" xfId="5" applyFont="1" applyBorder="1" applyAlignment="1">
      <alignment horizontal="center" vertical="top" wrapText="1"/>
    </xf>
    <xf numFmtId="4" fontId="10" fillId="3" borderId="22" xfId="5" applyNumberFormat="1" applyFont="1" applyBorder="1" applyAlignment="1">
      <alignment horizontal="right" vertical="top" wrapText="1" shrinkToFit="1"/>
    </xf>
    <xf numFmtId="2" fontId="10" fillId="3" borderId="3" xfId="5" applyNumberFormat="1" applyFont="1" applyBorder="1" applyAlignment="1">
      <alignment horizontal="center" vertical="top" wrapText="1" shrinkToFit="1"/>
    </xf>
    <xf numFmtId="0" fontId="10" fillId="3" borderId="3" xfId="5" applyFont="1" applyBorder="1" applyAlignment="1">
      <alignment horizontal="left" vertical="top" wrapText="1"/>
    </xf>
    <xf numFmtId="0" fontId="10" fillId="3" borderId="3" xfId="5" applyFont="1" applyBorder="1" applyAlignment="1">
      <alignment horizontal="center" vertical="top" wrapText="1"/>
    </xf>
    <xf numFmtId="4" fontId="10" fillId="3" borderId="3" xfId="5" applyNumberFormat="1" applyFont="1" applyBorder="1" applyAlignment="1">
      <alignment horizontal="right" vertical="top" wrapText="1" shrinkToFit="1"/>
    </xf>
    <xf numFmtId="0" fontId="9" fillId="3" borderId="3" xfId="5" applyFont="1" applyBorder="1" applyAlignment="1">
      <alignment horizontal="left" vertical="top" wrapText="1"/>
    </xf>
    <xf numFmtId="2" fontId="9" fillId="3" borderId="3" xfId="5" applyNumberFormat="1" applyFont="1" applyBorder="1" applyAlignment="1">
      <alignment horizontal="center" vertical="top" wrapText="1" shrinkToFit="1"/>
    </xf>
    <xf numFmtId="0" fontId="9" fillId="3" borderId="3" xfId="5" applyFont="1" applyBorder="1" applyAlignment="1">
      <alignment horizontal="center" vertical="top" wrapText="1"/>
    </xf>
    <xf numFmtId="4" fontId="9" fillId="3" borderId="3" xfId="5" applyNumberFormat="1" applyFont="1" applyBorder="1" applyAlignment="1">
      <alignment horizontal="right" vertical="top" wrapText="1" shrinkToFit="1"/>
    </xf>
    <xf numFmtId="178" fontId="9" fillId="3" borderId="3" xfId="5" applyNumberFormat="1" applyFont="1" applyBorder="1" applyAlignment="1">
      <alignment horizontal="right" vertical="top" wrapText="1" shrinkToFit="1"/>
    </xf>
    <xf numFmtId="0" fontId="9" fillId="3" borderId="23" xfId="5" applyFont="1" applyBorder="1" applyAlignment="1">
      <alignment horizontal="center" vertical="top" wrapText="1"/>
    </xf>
    <xf numFmtId="0" fontId="9" fillId="3" borderId="23" xfId="5" applyFont="1" applyBorder="1" applyAlignment="1">
      <alignment horizontal="left" vertical="top" wrapText="1"/>
    </xf>
    <xf numFmtId="0" fontId="10" fillId="3" borderId="23" xfId="5" applyFont="1" applyBorder="1" applyAlignment="1">
      <alignment horizontal="left" wrapText="1"/>
    </xf>
    <xf numFmtId="0" fontId="10" fillId="3" borderId="23" xfId="5" applyFont="1" applyBorder="1" applyAlignment="1">
      <alignment horizontal="center" wrapText="1"/>
    </xf>
    <xf numFmtId="0" fontId="10" fillId="3" borderId="23" xfId="5" applyFont="1" applyBorder="1" applyAlignment="1">
      <alignment horizontal="right" wrapText="1"/>
    </xf>
    <xf numFmtId="2" fontId="9" fillId="3" borderId="23" xfId="5" applyNumberFormat="1" applyFont="1" applyBorder="1" applyAlignment="1">
      <alignment horizontal="center" vertical="top" wrapText="1" shrinkToFit="1"/>
    </xf>
    <xf numFmtId="2" fontId="10" fillId="3" borderId="23" xfId="5" applyNumberFormat="1" applyFont="1" applyBorder="1" applyAlignment="1">
      <alignment horizontal="center" vertical="top" wrapText="1" shrinkToFit="1"/>
    </xf>
    <xf numFmtId="0" fontId="10" fillId="3" borderId="23" xfId="5" applyFont="1" applyBorder="1" applyAlignment="1">
      <alignment horizontal="left" vertical="top" wrapText="1"/>
    </xf>
    <xf numFmtId="0" fontId="10" fillId="3" borderId="23" xfId="5" applyFont="1" applyBorder="1" applyAlignment="1">
      <alignment horizontal="center" vertical="top" wrapText="1"/>
    </xf>
    <xf numFmtId="4" fontId="10" fillId="3" borderId="23" xfId="5" applyNumberFormat="1" applyFont="1" applyBorder="1" applyAlignment="1">
      <alignment horizontal="right" vertical="top" wrapText="1" shrinkToFit="1"/>
    </xf>
    <xf numFmtId="0" fontId="9" fillId="3" borderId="23" xfId="5" applyFont="1" applyBorder="1" applyAlignment="1">
      <alignment horizontal="left" wrapText="1"/>
    </xf>
    <xf numFmtId="0" fontId="9" fillId="3" borderId="23" xfId="5" applyFont="1" applyBorder="1" applyAlignment="1">
      <alignment horizontal="center" wrapText="1"/>
    </xf>
    <xf numFmtId="178" fontId="9" fillId="3" borderId="23" xfId="5" applyNumberFormat="1" applyFont="1" applyBorder="1" applyAlignment="1">
      <alignment horizontal="right" wrapText="1"/>
    </xf>
    <xf numFmtId="196" fontId="0" fillId="0" borderId="0" xfId="0" applyNumberFormat="1"/>
    <xf numFmtId="4" fontId="10" fillId="3" borderId="23" xfId="5" applyNumberFormat="1" applyFont="1" applyBorder="1" applyAlignment="1">
      <alignment horizontal="center" vertical="top" wrapText="1" shrinkToFit="1"/>
    </xf>
    <xf numFmtId="196" fontId="10" fillId="3" borderId="23" xfId="5" applyNumberFormat="1" applyFont="1" applyBorder="1" applyAlignment="1">
      <alignment horizontal="right" vertical="top" wrapText="1" shrinkToFit="1"/>
    </xf>
    <xf numFmtId="2" fontId="10" fillId="3" borderId="23" xfId="5" applyNumberFormat="1" applyFont="1" applyBorder="1" applyAlignment="1">
      <alignment horizontal="right" vertical="top" wrapText="1" shrinkToFit="1"/>
    </xf>
    <xf numFmtId="170" fontId="10" fillId="3" borderId="23" xfId="5" applyNumberFormat="1" applyFont="1" applyBorder="1" applyAlignment="1">
      <alignment horizontal="right" vertical="top" wrapText="1" shrinkToFit="1"/>
    </xf>
    <xf numFmtId="2" fontId="10" fillId="3" borderId="24" xfId="5" applyNumberFormat="1" applyFont="1" applyBorder="1" applyAlignment="1">
      <alignment horizontal="center" vertical="top" wrapText="1" shrinkToFit="1"/>
    </xf>
    <xf numFmtId="0" fontId="10" fillId="3" borderId="24" xfId="5" applyFont="1" applyBorder="1" applyAlignment="1">
      <alignment horizontal="left" vertical="top" wrapText="1"/>
    </xf>
    <xf numFmtId="0" fontId="10" fillId="3" borderId="24" xfId="5" applyFont="1" applyBorder="1" applyAlignment="1">
      <alignment horizontal="center" vertical="top" wrapText="1"/>
    </xf>
    <xf numFmtId="4" fontId="10" fillId="3" borderId="24" xfId="5" applyNumberFormat="1" applyFont="1" applyBorder="1" applyAlignment="1">
      <alignment horizontal="right" vertical="top" wrapText="1" shrinkToFit="1"/>
    </xf>
    <xf numFmtId="0" fontId="9" fillId="3" borderId="25" xfId="5" applyFont="1" applyBorder="1" applyAlignment="1">
      <alignment horizontal="center" vertical="top" wrapText="1"/>
    </xf>
    <xf numFmtId="0" fontId="9" fillId="3" borderId="25" xfId="5" applyFont="1" applyBorder="1" applyAlignment="1">
      <alignment horizontal="left" vertical="top" wrapText="1"/>
    </xf>
    <xf numFmtId="0" fontId="10" fillId="3" borderId="25" xfId="5" applyFont="1" applyBorder="1" applyAlignment="1">
      <alignment horizontal="left" wrapText="1"/>
    </xf>
    <xf numFmtId="0" fontId="10" fillId="3" borderId="25" xfId="5" applyFont="1" applyBorder="1" applyAlignment="1">
      <alignment horizontal="center" wrapText="1"/>
    </xf>
    <xf numFmtId="0" fontId="10" fillId="3" borderId="25" xfId="5" applyFont="1" applyBorder="1" applyAlignment="1">
      <alignment horizontal="right" wrapText="1"/>
    </xf>
    <xf numFmtId="2" fontId="9" fillId="3" borderId="23" xfId="5" applyNumberFormat="1" applyFont="1" applyBorder="1" applyAlignment="1">
      <alignment horizontal="left" wrapText="1"/>
    </xf>
    <xf numFmtId="0" fontId="10" fillId="3" borderId="23" xfId="5" applyFont="1" applyBorder="1" applyAlignment="1">
      <alignment horizontal="left" vertical="center" wrapText="1"/>
    </xf>
    <xf numFmtId="4" fontId="10" fillId="3" borderId="23" xfId="5" applyNumberFormat="1" applyFont="1" applyBorder="1" applyAlignment="1">
      <alignment horizontal="right" vertical="center" wrapText="1" shrinkToFit="1"/>
    </xf>
    <xf numFmtId="2" fontId="10" fillId="3" borderId="23" xfId="5" applyNumberFormat="1" applyFont="1" applyBorder="1" applyAlignment="1">
      <alignment horizontal="center" vertical="center" wrapText="1" shrinkToFit="1"/>
    </xf>
    <xf numFmtId="0" fontId="9" fillId="3" borderId="25" xfId="5" applyFont="1" applyBorder="1" applyAlignment="1">
      <alignment horizontal="center" vertical="center" wrapText="1"/>
    </xf>
    <xf numFmtId="0" fontId="9" fillId="3" borderId="25" xfId="5" applyFont="1" applyBorder="1" applyAlignment="1">
      <alignment horizontal="left" wrapText="1"/>
    </xf>
    <xf numFmtId="0" fontId="10" fillId="3" borderId="25" xfId="5" applyFont="1" applyBorder="1" applyAlignment="1">
      <alignment horizontal="left" vertical="center" wrapText="1"/>
    </xf>
    <xf numFmtId="0" fontId="10" fillId="3" borderId="25" xfId="5" applyFont="1" applyBorder="1" applyAlignment="1">
      <alignment horizontal="center" vertical="center" wrapText="1"/>
    </xf>
    <xf numFmtId="0" fontId="10" fillId="3" borderId="25" xfId="5" applyFont="1" applyBorder="1" applyAlignment="1">
      <alignment horizontal="right" vertical="center" wrapText="1"/>
    </xf>
    <xf numFmtId="2" fontId="10" fillId="3" borderId="24" xfId="5" applyNumberFormat="1" applyFont="1" applyBorder="1" applyAlignment="1">
      <alignment horizontal="center" vertical="center" wrapText="1" shrinkToFit="1"/>
    </xf>
    <xf numFmtId="4" fontId="10" fillId="3" borderId="24" xfId="5" applyNumberFormat="1" applyFont="1" applyBorder="1" applyAlignment="1">
      <alignment horizontal="right" vertical="center" wrapText="1" shrinkToFit="1"/>
    </xf>
    <xf numFmtId="165" fontId="13" fillId="13" borderId="4" xfId="1" applyFont="1" applyFill="1" applyBorder="1" applyAlignment="1">
      <alignment wrapText="1"/>
    </xf>
    <xf numFmtId="2" fontId="13" fillId="13" borderId="4" xfId="0" applyNumberFormat="1" applyFont="1" applyFill="1" applyBorder="1" applyAlignment="1">
      <alignment horizontal="right" wrapText="1"/>
    </xf>
    <xf numFmtId="175" fontId="13" fillId="13" borderId="4" xfId="1" applyNumberFormat="1" applyFont="1" applyFill="1" applyBorder="1" applyAlignment="1">
      <alignment wrapText="1"/>
    </xf>
    <xf numFmtId="165" fontId="13" fillId="14" borderId="4" xfId="1" applyFont="1" applyFill="1" applyBorder="1" applyAlignment="1">
      <alignment wrapText="1"/>
    </xf>
    <xf numFmtId="2" fontId="10" fillId="3" borderId="3" xfId="5" applyNumberFormat="1" applyFont="1" applyBorder="1" applyAlignment="1">
      <alignment horizontal="center" vertical="center" wrapText="1" shrinkToFit="1"/>
    </xf>
    <xf numFmtId="4" fontId="9" fillId="3" borderId="3" xfId="5" applyNumberFormat="1" applyFont="1" applyBorder="1" applyAlignment="1">
      <alignment horizontal="right" vertical="center" wrapText="1" shrinkToFit="1"/>
    </xf>
    <xf numFmtId="178" fontId="9" fillId="3" borderId="3" xfId="5" applyNumberFormat="1" applyFont="1" applyBorder="1" applyAlignment="1">
      <alignment horizontal="right" vertical="center" wrapText="1" shrinkToFi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3" fillId="0" borderId="0" xfId="0" applyFont="1" applyAlignment="1">
      <alignment wrapText="1"/>
    </xf>
    <xf numFmtId="178" fontId="9" fillId="0" borderId="0" xfId="0" applyNumberFormat="1" applyFont="1" applyAlignment="1">
      <alignment horizontal="right" wrapText="1"/>
    </xf>
    <xf numFmtId="178" fontId="8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165" fontId="4" fillId="0" borderId="0" xfId="0" applyNumberFormat="1" applyFont="1" applyAlignment="1">
      <alignment horizontal="right" wrapText="1"/>
    </xf>
    <xf numFmtId="0" fontId="8" fillId="5" borderId="3" xfId="0" applyFont="1" applyFill="1" applyBorder="1" applyAlignment="1">
      <alignment vertical="top" wrapText="1"/>
    </xf>
    <xf numFmtId="0" fontId="8" fillId="5" borderId="3" xfId="0" applyFont="1" applyFill="1" applyBorder="1" applyAlignment="1">
      <alignment wrapText="1"/>
    </xf>
    <xf numFmtId="165" fontId="8" fillId="5" borderId="3" xfId="1" applyFont="1" applyFill="1" applyBorder="1" applyAlignment="1">
      <alignment wrapText="1"/>
    </xf>
    <xf numFmtId="165" fontId="8" fillId="6" borderId="3" xfId="1" applyFont="1" applyFill="1" applyBorder="1" applyAlignment="1">
      <alignment wrapText="1"/>
    </xf>
    <xf numFmtId="0" fontId="8" fillId="6" borderId="3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wrapText="1"/>
    </xf>
    <xf numFmtId="0" fontId="8" fillId="7" borderId="3" xfId="0" applyFont="1" applyFill="1" applyBorder="1" applyAlignment="1">
      <alignment wrapText="1"/>
    </xf>
    <xf numFmtId="165" fontId="8" fillId="7" borderId="3" xfId="1" applyFont="1" applyFill="1" applyBorder="1" applyAlignment="1">
      <alignment wrapText="1"/>
    </xf>
    <xf numFmtId="186" fontId="8" fillId="8" borderId="3" xfId="1" applyNumberFormat="1" applyFont="1" applyFill="1" applyBorder="1" applyAlignment="1">
      <alignment wrapText="1"/>
    </xf>
    <xf numFmtId="178" fontId="8" fillId="8" borderId="3" xfId="1" applyNumberFormat="1" applyFont="1" applyFill="1" applyBorder="1" applyAlignment="1">
      <alignment wrapText="1"/>
    </xf>
    <xf numFmtId="0" fontId="42" fillId="0" borderId="0" xfId="13" applyFont="1" applyAlignment="1">
      <alignment vertical="top"/>
    </xf>
    <xf numFmtId="4" fontId="8" fillId="8" borderId="3" xfId="0" applyNumberFormat="1" applyFont="1" applyFill="1" applyBorder="1" applyAlignment="1">
      <alignment horizontal="center" wrapText="1"/>
    </xf>
    <xf numFmtId="2" fontId="8" fillId="8" borderId="3" xfId="1" applyNumberFormat="1" applyFont="1" applyFill="1" applyBorder="1" applyAlignment="1">
      <alignment wrapText="1"/>
    </xf>
    <xf numFmtId="4" fontId="8" fillId="8" borderId="3" xfId="1" applyNumberFormat="1" applyFont="1" applyFill="1" applyBorder="1" applyAlignment="1">
      <alignment horizontal="right" wrapText="1"/>
    </xf>
    <xf numFmtId="165" fontId="8" fillId="13" borderId="3" xfId="1" applyFont="1" applyFill="1" applyBorder="1" applyAlignment="1">
      <alignment wrapText="1"/>
    </xf>
    <xf numFmtId="165" fontId="8" fillId="14" borderId="3" xfId="1" applyFont="1" applyFill="1" applyBorder="1" applyAlignment="1">
      <alignment wrapText="1"/>
    </xf>
    <xf numFmtId="0" fontId="4" fillId="0" borderId="0" xfId="0" applyFont="1"/>
    <xf numFmtId="2" fontId="8" fillId="13" borderId="3" xfId="0" applyNumberFormat="1" applyFont="1" applyFill="1" applyBorder="1" applyAlignment="1">
      <alignment horizontal="right" wrapText="1"/>
    </xf>
    <xf numFmtId="10" fontId="8" fillId="13" borderId="3" xfId="1" applyNumberFormat="1" applyFont="1" applyFill="1" applyBorder="1" applyAlignment="1">
      <alignment wrapText="1"/>
    </xf>
    <xf numFmtId="2" fontId="43" fillId="0" borderId="26" xfId="0" applyNumberFormat="1" applyFont="1" applyBorder="1" applyAlignment="1">
      <alignment horizontal="center" vertical="top"/>
    </xf>
    <xf numFmtId="4" fontId="44" fillId="0" borderId="0" xfId="13" applyNumberFormat="1" applyFont="1" applyAlignment="1">
      <alignment horizontal="right" vertical="top"/>
    </xf>
    <xf numFmtId="0" fontId="44" fillId="0" borderId="0" xfId="14" applyFont="1" applyAlignment="1" applyProtection="1">
      <alignment horizontal="center" vertical="top"/>
      <protection locked="0"/>
    </xf>
    <xf numFmtId="4" fontId="44" fillId="0" borderId="0" xfId="13" applyNumberFormat="1" applyFont="1" applyAlignment="1">
      <alignment vertical="top"/>
    </xf>
    <xf numFmtId="198" fontId="44" fillId="0" borderId="0" xfId="15" applyNumberFormat="1" applyFont="1" applyFill="1" applyBorder="1" applyAlignment="1">
      <alignment vertical="top" wrapText="1"/>
    </xf>
    <xf numFmtId="4" fontId="25" fillId="0" borderId="0" xfId="13" applyNumberFormat="1" applyFont="1" applyAlignment="1">
      <alignment vertical="top"/>
    </xf>
    <xf numFmtId="199" fontId="45" fillId="0" borderId="0" xfId="0" applyNumberFormat="1" applyFont="1"/>
    <xf numFmtId="4" fontId="43" fillId="0" borderId="0" xfId="0" applyNumberFormat="1" applyFont="1"/>
    <xf numFmtId="0" fontId="43" fillId="0" borderId="0" xfId="0" applyFont="1"/>
    <xf numFmtId="2" fontId="8" fillId="8" borderId="3" xfId="0" applyNumberFormat="1" applyFont="1" applyFill="1" applyBorder="1" applyAlignment="1">
      <alignment horizontal="center" wrapText="1"/>
    </xf>
    <xf numFmtId="4" fontId="8" fillId="8" borderId="3" xfId="1" applyNumberFormat="1" applyFont="1" applyFill="1" applyBorder="1" applyAlignment="1">
      <alignment wrapText="1"/>
    </xf>
    <xf numFmtId="175" fontId="8" fillId="13" borderId="3" xfId="1" applyNumberFormat="1" applyFont="1" applyFill="1" applyBorder="1" applyAlignment="1">
      <alignment wrapText="1"/>
    </xf>
    <xf numFmtId="178" fontId="13" fillId="8" borderId="3" xfId="1" applyNumberFormat="1" applyFont="1" applyFill="1" applyBorder="1" applyAlignment="1">
      <alignment wrapText="1"/>
    </xf>
    <xf numFmtId="178" fontId="13" fillId="14" borderId="3" xfId="1" applyNumberFormat="1" applyFont="1" applyFill="1" applyBorder="1" applyAlignment="1">
      <alignment wrapText="1"/>
    </xf>
    <xf numFmtId="0" fontId="10" fillId="0" borderId="0" xfId="0" applyFont="1"/>
    <xf numFmtId="0" fontId="0" fillId="16" borderId="0" xfId="0" applyFill="1" applyAlignment="1">
      <alignment horizontal="center" wrapText="1"/>
    </xf>
    <xf numFmtId="0" fontId="42" fillId="16" borderId="0" xfId="13" applyFont="1" applyFill="1" applyAlignment="1">
      <alignment vertical="top"/>
    </xf>
    <xf numFmtId="0" fontId="0" fillId="16" borderId="0" xfId="0" applyFill="1" applyAlignment="1">
      <alignment wrapText="1"/>
    </xf>
    <xf numFmtId="165" fontId="4" fillId="16" borderId="0" xfId="0" applyNumberFormat="1" applyFont="1" applyFill="1" applyAlignment="1">
      <alignment horizontal="right" wrapText="1"/>
    </xf>
    <xf numFmtId="0" fontId="0" fillId="16" borderId="0" xfId="0" applyFill="1"/>
    <xf numFmtId="0" fontId="0" fillId="5" borderId="3" xfId="0" applyFill="1" applyBorder="1" applyAlignment="1">
      <alignment horizontal="center" wrapText="1"/>
    </xf>
    <xf numFmtId="0" fontId="0" fillId="5" borderId="3" xfId="0" applyFill="1" applyBorder="1" applyAlignment="1">
      <alignment wrapText="1"/>
    </xf>
    <xf numFmtId="0" fontId="0" fillId="5" borderId="3" xfId="0" applyFill="1" applyBorder="1" applyAlignment="1">
      <alignment horizontal="right" wrapText="1"/>
    </xf>
    <xf numFmtId="165" fontId="5" fillId="6" borderId="3" xfId="1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left" vertical="center" wrapText="1"/>
    </xf>
    <xf numFmtId="165" fontId="5" fillId="7" borderId="3" xfId="1" applyFont="1" applyFill="1" applyBorder="1" applyAlignment="1">
      <alignment horizontal="center" wrapText="1"/>
    </xf>
    <xf numFmtId="0" fontId="5" fillId="5" borderId="5" xfId="0" applyFont="1" applyFill="1" applyBorder="1" applyAlignment="1">
      <alignment horizontal="right" wrapText="1"/>
    </xf>
    <xf numFmtId="0" fontId="46" fillId="13" borderId="3" xfId="0" applyFont="1" applyFill="1" applyBorder="1" applyAlignment="1">
      <alignment wrapText="1"/>
    </xf>
    <xf numFmtId="0" fontId="46" fillId="14" borderId="3" xfId="0" applyFont="1" applyFill="1" applyBorder="1" applyAlignment="1">
      <alignment wrapText="1"/>
    </xf>
    <xf numFmtId="4" fontId="9" fillId="12" borderId="3" xfId="0" applyNumberFormat="1" applyFont="1" applyFill="1" applyBorder="1" applyAlignment="1">
      <alignment horizontal="center" wrapText="1"/>
    </xf>
    <xf numFmtId="0" fontId="9" fillId="12" borderId="3" xfId="0" applyFont="1" applyFill="1" applyBorder="1" applyAlignment="1">
      <alignment wrapText="1"/>
    </xf>
    <xf numFmtId="0" fontId="10" fillId="12" borderId="3" xfId="0" applyFont="1" applyFill="1" applyBorder="1" applyAlignment="1">
      <alignment wrapText="1"/>
    </xf>
    <xf numFmtId="0" fontId="10" fillId="12" borderId="3" xfId="0" applyFont="1" applyFill="1" applyBorder="1" applyAlignment="1">
      <alignment horizontal="center" wrapText="1"/>
    </xf>
    <xf numFmtId="0" fontId="10" fillId="12" borderId="5" xfId="0" applyFont="1" applyFill="1" applyBorder="1" applyAlignment="1">
      <alignment horizontal="right" wrapText="1"/>
    </xf>
    <xf numFmtId="0" fontId="10" fillId="13" borderId="3" xfId="0" applyFont="1" applyFill="1" applyBorder="1" applyAlignment="1">
      <alignment wrapText="1"/>
    </xf>
    <xf numFmtId="0" fontId="10" fillId="14" borderId="3" xfId="0" applyFont="1" applyFill="1" applyBorder="1" applyAlignment="1">
      <alignment wrapText="1"/>
    </xf>
    <xf numFmtId="4" fontId="10" fillId="12" borderId="3" xfId="0" applyNumberFormat="1" applyFont="1" applyFill="1" applyBorder="1" applyAlignment="1">
      <alignment horizontal="center" wrapText="1"/>
    </xf>
    <xf numFmtId="0" fontId="13" fillId="12" borderId="3" xfId="0" applyFont="1" applyFill="1" applyBorder="1" applyAlignment="1">
      <alignment horizontal="left" wrapText="1"/>
    </xf>
    <xf numFmtId="2" fontId="13" fillId="12" borderId="3" xfId="0" applyNumberFormat="1" applyFont="1" applyFill="1" applyBorder="1" applyAlignment="1">
      <alignment horizontal="center" wrapText="1"/>
    </xf>
    <xf numFmtId="0" fontId="13" fillId="12" borderId="3" xfId="1" applyNumberFormat="1" applyFont="1" applyFill="1" applyBorder="1" applyAlignment="1">
      <alignment horizontal="center" wrapText="1"/>
    </xf>
    <xf numFmtId="4" fontId="13" fillId="12" borderId="3" xfId="1" applyNumberFormat="1" applyFont="1" applyFill="1" applyBorder="1" applyAlignment="1">
      <alignment wrapText="1"/>
    </xf>
    <xf numFmtId="4" fontId="13" fillId="12" borderId="5" xfId="1" applyNumberFormat="1" applyFont="1" applyFill="1" applyBorder="1" applyAlignment="1">
      <alignment horizontal="right" wrapText="1"/>
    </xf>
    <xf numFmtId="165" fontId="10" fillId="14" borderId="3" xfId="0" applyNumberFormat="1" applyFont="1" applyFill="1" applyBorder="1" applyAlignment="1">
      <alignment wrapText="1"/>
    </xf>
    <xf numFmtId="0" fontId="8" fillId="12" borderId="3" xfId="0" applyFont="1" applyFill="1" applyBorder="1" applyAlignment="1">
      <alignment horizontal="left" wrapText="1"/>
    </xf>
    <xf numFmtId="178" fontId="8" fillId="12" borderId="5" xfId="1" applyNumberFormat="1" applyFont="1" applyFill="1" applyBorder="1" applyAlignment="1">
      <alignment horizontal="right" wrapText="1"/>
    </xf>
    <xf numFmtId="4" fontId="13" fillId="12" borderId="3" xfId="1" applyNumberFormat="1" applyFont="1" applyFill="1" applyBorder="1" applyAlignment="1">
      <alignment horizontal="center" wrapText="1"/>
    </xf>
    <xf numFmtId="4" fontId="13" fillId="12" borderId="3" xfId="0" applyNumberFormat="1" applyFont="1" applyFill="1" applyBorder="1" applyAlignment="1">
      <alignment horizontal="center" wrapText="1"/>
    </xf>
    <xf numFmtId="4" fontId="47" fillId="12" borderId="3" xfId="0" applyNumberFormat="1" applyFont="1" applyFill="1" applyBorder="1" applyAlignment="1">
      <alignment horizontal="center" wrapText="1"/>
    </xf>
    <xf numFmtId="178" fontId="10" fillId="13" borderId="3" xfId="0" applyNumberFormat="1" applyFont="1" applyFill="1" applyBorder="1" applyAlignment="1">
      <alignment wrapText="1"/>
    </xf>
    <xf numFmtId="4" fontId="48" fillId="12" borderId="3" xfId="0" applyNumberFormat="1" applyFont="1" applyFill="1" applyBorder="1" applyAlignment="1">
      <alignment horizontal="center" wrapText="1"/>
    </xf>
    <xf numFmtId="4" fontId="10" fillId="13" borderId="3" xfId="0" applyNumberFormat="1" applyFont="1" applyFill="1" applyBorder="1" applyAlignment="1">
      <alignment wrapText="1"/>
    </xf>
    <xf numFmtId="4" fontId="47" fillId="12" borderId="3" xfId="0" applyNumberFormat="1" applyFont="1" applyFill="1" applyBorder="1" applyAlignment="1">
      <alignment horizontal="center" vertical="center" wrapText="1"/>
    </xf>
    <xf numFmtId="0" fontId="47" fillId="12" borderId="3" xfId="0" applyFont="1" applyFill="1" applyBorder="1" applyAlignment="1">
      <alignment wrapText="1"/>
    </xf>
    <xf numFmtId="0" fontId="47" fillId="12" borderId="3" xfId="0" applyFont="1" applyFill="1" applyBorder="1" applyAlignment="1">
      <alignment horizontal="center" wrapText="1"/>
    </xf>
    <xf numFmtId="4" fontId="47" fillId="12" borderId="3" xfId="0" applyNumberFormat="1" applyFont="1" applyFill="1" applyBorder="1" applyAlignment="1">
      <alignment wrapText="1"/>
    </xf>
    <xf numFmtId="178" fontId="9" fillId="12" borderId="3" xfId="0" applyNumberFormat="1" applyFont="1" applyFill="1" applyBorder="1" applyAlignment="1">
      <alignment horizontal="right" wrapText="1"/>
    </xf>
    <xf numFmtId="4" fontId="47" fillId="12" borderId="5" xfId="0" applyNumberFormat="1" applyFont="1" applyFill="1" applyBorder="1" applyAlignment="1">
      <alignment horizontal="right" wrapText="1"/>
    </xf>
    <xf numFmtId="178" fontId="9" fillId="12" borderId="5" xfId="0" applyNumberFormat="1" applyFont="1" applyFill="1" applyBorder="1" applyAlignment="1">
      <alignment horizontal="right" wrapText="1"/>
    </xf>
    <xf numFmtId="4" fontId="10" fillId="12" borderId="3" xfId="0" applyNumberFormat="1" applyFont="1" applyFill="1" applyBorder="1" applyAlignment="1">
      <alignment wrapText="1"/>
    </xf>
    <xf numFmtId="4" fontId="10" fillId="12" borderId="5" xfId="0" applyNumberFormat="1" applyFont="1" applyFill="1" applyBorder="1" applyAlignment="1">
      <alignment horizontal="right" wrapText="1"/>
    </xf>
    <xf numFmtId="178" fontId="10" fillId="14" borderId="3" xfId="0" applyNumberFormat="1" applyFont="1" applyFill="1" applyBorder="1" applyAlignment="1">
      <alignment wrapText="1"/>
    </xf>
    <xf numFmtId="178" fontId="9" fillId="14" borderId="3" xfId="0" applyNumberFormat="1" applyFont="1" applyFill="1" applyBorder="1" applyAlignment="1">
      <alignment wrapText="1"/>
    </xf>
    <xf numFmtId="4" fontId="13" fillId="12" borderId="3" xfId="1" applyNumberFormat="1" applyFont="1" applyFill="1" applyBorder="1" applyAlignment="1">
      <alignment horizontal="right" wrapText="1"/>
    </xf>
    <xf numFmtId="4" fontId="10" fillId="12" borderId="0" xfId="0" applyNumberFormat="1" applyFont="1" applyFill="1" applyAlignment="1">
      <alignment horizontal="center" wrapText="1"/>
    </xf>
    <xf numFmtId="4" fontId="8" fillId="12" borderId="3" xfId="1" applyNumberFormat="1" applyFont="1" applyFill="1" applyBorder="1" applyAlignment="1">
      <alignment horizontal="right" wrapText="1"/>
    </xf>
    <xf numFmtId="4" fontId="0" fillId="0" borderId="0" xfId="0" applyNumberFormat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right" wrapText="1"/>
    </xf>
    <xf numFmtId="166" fontId="9" fillId="0" borderId="0" xfId="0" applyNumberFormat="1" applyFont="1" applyAlignment="1">
      <alignment wrapText="1"/>
    </xf>
    <xf numFmtId="200" fontId="0" fillId="0" borderId="0" xfId="0" applyNumberFormat="1"/>
    <xf numFmtId="0" fontId="6" fillId="0" borderId="0" xfId="0" applyFont="1" applyAlignment="1">
      <alignment horizontal="right" wrapText="1"/>
    </xf>
    <xf numFmtId="165" fontId="11" fillId="0" borderId="0" xfId="1" applyFont="1" applyBorder="1" applyAlignment="1">
      <alignment wrapText="1"/>
    </xf>
    <xf numFmtId="4" fontId="7" fillId="0" borderId="0" xfId="0" applyNumberFormat="1" applyFont="1" applyAlignment="1">
      <alignment wrapText="1"/>
    </xf>
    <xf numFmtId="9" fontId="5" fillId="0" borderId="0" xfId="3" applyFont="1" applyBorder="1" applyAlignment="1">
      <alignment wrapText="1"/>
    </xf>
    <xf numFmtId="4" fontId="5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4" fontId="5" fillId="0" borderId="0" xfId="1" applyNumberFormat="1" applyFont="1" applyBorder="1" applyAlignment="1">
      <alignment horizontal="center" wrapText="1"/>
    </xf>
    <xf numFmtId="4" fontId="5" fillId="0" borderId="0" xfId="1" applyNumberFormat="1" applyFont="1" applyBorder="1" applyAlignment="1">
      <alignment wrapText="1"/>
    </xf>
    <xf numFmtId="194" fontId="0" fillId="0" borderId="0" xfId="0" applyNumberFormat="1"/>
    <xf numFmtId="10" fontId="5" fillId="0" borderId="0" xfId="3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4" fontId="19" fillId="0" borderId="0" xfId="1" applyNumberFormat="1" applyFont="1" applyBorder="1" applyAlignment="1">
      <alignment horizontal="center" wrapText="1"/>
    </xf>
    <xf numFmtId="4" fontId="5" fillId="0" borderId="0" xfId="1" applyNumberFormat="1" applyFont="1" applyBorder="1" applyAlignment="1">
      <alignment horizontal="right" wrapText="1"/>
    </xf>
    <xf numFmtId="0" fontId="19" fillId="0" borderId="0" xfId="0" applyFont="1" applyAlignment="1">
      <alignment wrapText="1"/>
    </xf>
    <xf numFmtId="178" fontId="5" fillId="0" borderId="0" xfId="1" applyNumberFormat="1" applyFont="1" applyBorder="1" applyAlignment="1">
      <alignment wrapText="1"/>
    </xf>
    <xf numFmtId="0" fontId="20" fillId="0" borderId="0" xfId="0" applyFont="1" applyAlignment="1">
      <alignment wrapText="1"/>
    </xf>
    <xf numFmtId="178" fontId="7" fillId="0" borderId="0" xfId="1" applyNumberFormat="1" applyFont="1" applyBorder="1" applyAlignment="1">
      <alignment wrapText="1"/>
    </xf>
    <xf numFmtId="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center" wrapText="1"/>
    </xf>
    <xf numFmtId="4" fontId="12" fillId="0" borderId="0" xfId="1" applyNumberFormat="1" applyFont="1" applyBorder="1" applyAlignment="1">
      <alignment horizontal="center" wrapText="1"/>
    </xf>
    <xf numFmtId="0" fontId="7" fillId="0" borderId="0" xfId="0" applyFont="1" applyAlignment="1">
      <alignment horizontal="right" wrapText="1"/>
    </xf>
    <xf numFmtId="186" fontId="19" fillId="0" borderId="0" xfId="1" applyNumberFormat="1" applyFont="1" applyBorder="1" applyAlignment="1">
      <alignment wrapText="1"/>
    </xf>
    <xf numFmtId="186" fontId="7" fillId="0" borderId="0" xfId="0" applyNumberFormat="1" applyFont="1" applyAlignment="1">
      <alignment wrapText="1"/>
    </xf>
    <xf numFmtId="186" fontId="7" fillId="0" borderId="0" xfId="0" applyNumberFormat="1" applyFont="1" applyAlignment="1">
      <alignment horizontal="center" wrapText="1"/>
    </xf>
    <xf numFmtId="186" fontId="19" fillId="0" borderId="0" xfId="0" applyNumberFormat="1" applyFont="1" applyAlignment="1">
      <alignment horizontal="center" wrapText="1"/>
    </xf>
    <xf numFmtId="187" fontId="5" fillId="8" borderId="3" xfId="0" applyNumberFormat="1" applyFont="1" applyFill="1" applyBorder="1" applyAlignment="1">
      <alignment horizontal="center" vertical="top"/>
    </xf>
    <xf numFmtId="169" fontId="7" fillId="8" borderId="3" xfId="0" applyNumberFormat="1" applyFont="1" applyFill="1" applyBorder="1" applyAlignment="1">
      <alignment horizontal="center"/>
    </xf>
    <xf numFmtId="165" fontId="7" fillId="8" borderId="3" xfId="1" applyFont="1" applyFill="1" applyBorder="1"/>
    <xf numFmtId="165" fontId="7" fillId="13" borderId="3" xfId="1" applyFont="1" applyFill="1" applyBorder="1"/>
    <xf numFmtId="0" fontId="5" fillId="13" borderId="3" xfId="0" applyFont="1" applyFill="1" applyBorder="1" applyAlignment="1">
      <alignment horizontal="left" vertical="top"/>
    </xf>
    <xf numFmtId="0" fontId="5" fillId="13" borderId="3" xfId="0" applyFont="1" applyFill="1" applyBorder="1"/>
    <xf numFmtId="0" fontId="7" fillId="14" borderId="3" xfId="0" applyFont="1" applyFill="1" applyBorder="1" applyAlignment="1">
      <alignment horizontal="center"/>
    </xf>
    <xf numFmtId="165" fontId="7" fillId="14" borderId="3" xfId="1" applyFont="1" applyFill="1" applyBorder="1"/>
    <xf numFmtId="169" fontId="7" fillId="8" borderId="3" xfId="1" applyNumberFormat="1" applyFont="1" applyFill="1" applyBorder="1"/>
    <xf numFmtId="172" fontId="7" fillId="8" borderId="3" xfId="1" applyNumberFormat="1" applyFont="1" applyFill="1" applyBorder="1" applyAlignment="1">
      <alignment wrapText="1"/>
    </xf>
    <xf numFmtId="165" fontId="7" fillId="8" borderId="3" xfId="1" applyFont="1" applyFill="1" applyBorder="1" applyAlignment="1">
      <alignment wrapText="1"/>
    </xf>
    <xf numFmtId="2" fontId="7" fillId="13" borderId="3" xfId="0" applyNumberFormat="1" applyFont="1" applyFill="1" applyBorder="1" applyAlignment="1">
      <alignment horizontal="right"/>
    </xf>
    <xf numFmtId="10" fontId="7" fillId="13" borderId="3" xfId="1" applyNumberFormat="1" applyFont="1" applyFill="1" applyBorder="1" applyAlignment="1"/>
    <xf numFmtId="4" fontId="7" fillId="14" borderId="3" xfId="0" applyNumberFormat="1" applyFont="1" applyFill="1" applyBorder="1" applyAlignment="1">
      <alignment horizontal="right"/>
    </xf>
    <xf numFmtId="165" fontId="7" fillId="14" borderId="3" xfId="1" applyFont="1" applyFill="1" applyBorder="1" applyAlignment="1">
      <alignment wrapText="1"/>
    </xf>
    <xf numFmtId="165" fontId="7" fillId="14" borderId="3" xfId="1" applyFont="1" applyFill="1" applyBorder="1" applyAlignment="1">
      <alignment horizontal="right" wrapText="1"/>
    </xf>
    <xf numFmtId="165" fontId="5" fillId="8" borderId="3" xfId="1" applyFont="1" applyFill="1" applyBorder="1" applyAlignment="1">
      <alignment wrapText="1"/>
    </xf>
    <xf numFmtId="175" fontId="7" fillId="13" borderId="3" xfId="1" applyNumberFormat="1" applyFont="1" applyFill="1" applyBorder="1" applyAlignment="1"/>
    <xf numFmtId="165" fontId="5" fillId="14" borderId="3" xfId="0" applyNumberFormat="1" applyFont="1" applyFill="1" applyBorder="1" applyAlignment="1">
      <alignment horizontal="right"/>
    </xf>
    <xf numFmtId="165" fontId="5" fillId="14" borderId="3" xfId="1" applyFont="1" applyFill="1" applyBorder="1" applyAlignment="1">
      <alignment horizontal="right" wrapText="1"/>
    </xf>
    <xf numFmtId="165" fontId="5" fillId="14" borderId="3" xfId="1" applyFont="1" applyFill="1" applyBorder="1"/>
    <xf numFmtId="172" fontId="7" fillId="8" borderId="3" xfId="1" applyNumberFormat="1" applyFont="1" applyFill="1" applyBorder="1"/>
    <xf numFmtId="0" fontId="7" fillId="14" borderId="3" xfId="0" applyFont="1" applyFill="1" applyBorder="1"/>
    <xf numFmtId="169" fontId="7" fillId="14" borderId="3" xfId="0" applyNumberFormat="1" applyFont="1" applyFill="1" applyBorder="1" applyAlignment="1">
      <alignment horizontal="right"/>
    </xf>
    <xf numFmtId="183" fontId="7" fillId="14" borderId="3" xfId="1" applyNumberFormat="1" applyFont="1" applyFill="1" applyBorder="1" applyAlignment="1">
      <alignment horizontal="right" wrapText="1"/>
    </xf>
    <xf numFmtId="183" fontId="7" fillId="14" borderId="3" xfId="1" applyNumberFormat="1" applyFont="1" applyFill="1" applyBorder="1"/>
    <xf numFmtId="4" fontId="7" fillId="8" borderId="3" xfId="1" applyNumberFormat="1" applyFont="1" applyFill="1" applyBorder="1"/>
    <xf numFmtId="3" fontId="7" fillId="8" borderId="3" xfId="1" applyNumberFormat="1" applyFont="1" applyFill="1" applyBorder="1"/>
    <xf numFmtId="169" fontId="5" fillId="8" borderId="3" xfId="1" applyNumberFormat="1" applyFont="1" applyFill="1" applyBorder="1"/>
    <xf numFmtId="172" fontId="5" fillId="8" borderId="3" xfId="1" applyNumberFormat="1" applyFont="1" applyFill="1" applyBorder="1"/>
    <xf numFmtId="4" fontId="5" fillId="14" borderId="3" xfId="0" applyNumberFormat="1" applyFont="1" applyFill="1" applyBorder="1" applyAlignment="1">
      <alignment horizontal="right"/>
    </xf>
    <xf numFmtId="4" fontId="7" fillId="14" borderId="3" xfId="0" applyNumberFormat="1" applyFont="1" applyFill="1" applyBorder="1" applyAlignment="1">
      <alignment horizontal="center"/>
    </xf>
    <xf numFmtId="0" fontId="11" fillId="8" borderId="3" xfId="0" applyFont="1" applyFill="1" applyBorder="1" applyAlignment="1">
      <alignment horizontal="left" wrapText="1"/>
    </xf>
    <xf numFmtId="169" fontId="11" fillId="8" borderId="3" xfId="1" applyNumberFormat="1" applyFont="1" applyFill="1" applyBorder="1"/>
    <xf numFmtId="172" fontId="11" fillId="8" borderId="3" xfId="1" applyNumberFormat="1" applyFont="1" applyFill="1" applyBorder="1"/>
    <xf numFmtId="165" fontId="5" fillId="8" borderId="3" xfId="1" applyFont="1" applyFill="1" applyBorder="1"/>
    <xf numFmtId="165" fontId="5" fillId="14" borderId="3" xfId="1" applyFont="1" applyFill="1" applyBorder="1" applyAlignment="1">
      <alignment wrapText="1"/>
    </xf>
    <xf numFmtId="179" fontId="5" fillId="14" borderId="3" xfId="0" applyNumberFormat="1" applyFont="1" applyFill="1" applyBorder="1" applyAlignment="1">
      <alignment horizontal="center"/>
    </xf>
    <xf numFmtId="179" fontId="5" fillId="14" borderId="3" xfId="1" applyNumberFormat="1" applyFont="1" applyFill="1" applyBorder="1" applyAlignment="1">
      <alignment wrapText="1"/>
    </xf>
    <xf numFmtId="179" fontId="5" fillId="14" borderId="3" xfId="1" applyNumberFormat="1" applyFont="1" applyFill="1" applyBorder="1"/>
    <xf numFmtId="2" fontId="7" fillId="8" borderId="3" xfId="0" applyNumberFormat="1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center" wrapText="1"/>
    </xf>
    <xf numFmtId="2" fontId="7" fillId="8" borderId="3" xfId="0" applyNumberFormat="1" applyFont="1" applyFill="1" applyBorder="1" applyAlignment="1">
      <alignment horizontal="right" wrapText="1"/>
    </xf>
    <xf numFmtId="172" fontId="7" fillId="8" borderId="3" xfId="0" applyNumberFormat="1" applyFont="1" applyFill="1" applyBorder="1" applyAlignment="1">
      <alignment horizontal="center" wrapText="1"/>
    </xf>
    <xf numFmtId="165" fontId="7" fillId="13" borderId="3" xfId="3" applyNumberFormat="1" applyFont="1" applyFill="1" applyBorder="1" applyAlignment="1">
      <alignment horizontal="center"/>
    </xf>
    <xf numFmtId="0" fontId="7" fillId="13" borderId="3" xfId="1" applyNumberFormat="1" applyFont="1" applyFill="1" applyBorder="1" applyAlignment="1">
      <alignment horizontal="center"/>
    </xf>
    <xf numFmtId="4" fontId="5" fillId="14" borderId="3" xfId="1" applyNumberFormat="1" applyFont="1" applyFill="1" applyBorder="1" applyAlignment="1">
      <alignment wrapText="1"/>
    </xf>
    <xf numFmtId="201" fontId="12" fillId="0" borderId="0" xfId="0" applyNumberFormat="1" applyFont="1"/>
    <xf numFmtId="191" fontId="5" fillId="0" borderId="0" xfId="0" applyNumberFormat="1" applyFont="1"/>
    <xf numFmtId="201" fontId="5" fillId="0" borderId="0" xfId="0" applyNumberFormat="1" applyFont="1"/>
    <xf numFmtId="202" fontId="5" fillId="0" borderId="0" xfId="0" applyNumberFormat="1" applyFont="1"/>
    <xf numFmtId="203" fontId="7" fillId="0" borderId="0" xfId="0" applyNumberFormat="1" applyFont="1"/>
    <xf numFmtId="165" fontId="0" fillId="0" borderId="0" xfId="0" applyNumberFormat="1"/>
    <xf numFmtId="166" fontId="7" fillId="0" borderId="0" xfId="0" applyNumberFormat="1" applyFont="1"/>
    <xf numFmtId="166" fontId="7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2" fontId="12" fillId="18" borderId="3" xfId="16" applyNumberFormat="1" applyFont="1" applyBorder="1" applyAlignment="1">
      <alignment horizontal="center" vertical="top"/>
    </xf>
    <xf numFmtId="0" fontId="12" fillId="18" borderId="3" xfId="16" applyFont="1" applyBorder="1"/>
    <xf numFmtId="0" fontId="11" fillId="18" borderId="3" xfId="16" applyFont="1" applyBorder="1" applyAlignment="1">
      <alignment vertical="center"/>
    </xf>
    <xf numFmtId="0" fontId="11" fillId="18" borderId="3" xfId="16" applyFont="1" applyBorder="1" applyAlignment="1">
      <alignment horizontal="center"/>
    </xf>
    <xf numFmtId="165" fontId="11" fillId="18" borderId="3" xfId="16" applyNumberFormat="1" applyFont="1" applyBorder="1"/>
    <xf numFmtId="43" fontId="11" fillId="4" borderId="3" xfId="6" applyNumberFormat="1" applyFont="1" applyBorder="1" applyAlignment="1">
      <alignment horizontal="right"/>
    </xf>
    <xf numFmtId="43" fontId="11" fillId="4" borderId="3" xfId="6" applyNumberFormat="1" applyFont="1" applyBorder="1"/>
    <xf numFmtId="0" fontId="11" fillId="18" borderId="3" xfId="16" applyFont="1" applyBorder="1"/>
    <xf numFmtId="2" fontId="11" fillId="18" borderId="3" xfId="16" applyNumberFormat="1" applyFont="1" applyBorder="1" applyAlignment="1">
      <alignment horizontal="center" vertical="top"/>
    </xf>
    <xf numFmtId="0" fontId="11" fillId="18" borderId="3" xfId="16" applyFont="1" applyBorder="1" applyAlignment="1">
      <alignment wrapText="1"/>
    </xf>
    <xf numFmtId="0" fontId="11" fillId="18" borderId="3" xfId="16" applyFont="1" applyBorder="1" applyAlignment="1">
      <alignment horizontal="right"/>
    </xf>
    <xf numFmtId="165" fontId="11" fillId="18" borderId="3" xfId="16" applyNumberFormat="1" applyFont="1" applyBorder="1" applyAlignment="1">
      <alignment wrapText="1"/>
    </xf>
    <xf numFmtId="43" fontId="11" fillId="4" borderId="3" xfId="6" applyNumberFormat="1" applyFont="1" applyBorder="1" applyAlignment="1"/>
    <xf numFmtId="4" fontId="11" fillId="18" borderId="3" xfId="16" applyNumberFormat="1" applyFont="1" applyBorder="1"/>
    <xf numFmtId="4" fontId="11" fillId="18" borderId="3" xfId="16" applyNumberFormat="1" applyFont="1" applyBorder="1" applyAlignment="1">
      <alignment wrapText="1"/>
    </xf>
    <xf numFmtId="0" fontId="12" fillId="18" borderId="3" xfId="16" applyFont="1" applyBorder="1" applyAlignment="1">
      <alignment wrapText="1"/>
    </xf>
    <xf numFmtId="205" fontId="11" fillId="18" borderId="3" xfId="16" applyNumberFormat="1" applyFont="1" applyBorder="1" applyAlignment="1">
      <alignment wrapText="1"/>
    </xf>
    <xf numFmtId="178" fontId="12" fillId="18" borderId="3" xfId="16" applyNumberFormat="1" applyFont="1" applyBorder="1" applyAlignment="1">
      <alignment wrapText="1"/>
    </xf>
    <xf numFmtId="43" fontId="12" fillId="4" borderId="3" xfId="6" applyNumberFormat="1" applyFont="1" applyBorder="1"/>
    <xf numFmtId="4" fontId="12" fillId="18" borderId="3" xfId="16" applyNumberFormat="1" applyFont="1" applyBorder="1"/>
    <xf numFmtId="2" fontId="12" fillId="18" borderId="3" xfId="16" applyNumberFormat="1" applyFont="1" applyBorder="1" applyAlignment="1">
      <alignment horizontal="center"/>
    </xf>
    <xf numFmtId="0" fontId="12" fillId="18" borderId="3" xfId="16" applyFont="1" applyBorder="1" applyAlignment="1"/>
    <xf numFmtId="205" fontId="11" fillId="18" borderId="3" xfId="16" applyNumberFormat="1" applyFont="1" applyBorder="1" applyAlignment="1"/>
    <xf numFmtId="4" fontId="11" fillId="18" borderId="3" xfId="16" applyNumberFormat="1" applyFont="1" applyBorder="1" applyAlignment="1"/>
    <xf numFmtId="0" fontId="11" fillId="18" borderId="3" xfId="16" applyFont="1" applyBorder="1" applyAlignment="1">
      <alignment horizontal="left"/>
    </xf>
    <xf numFmtId="165" fontId="11" fillId="18" borderId="3" xfId="16" applyNumberFormat="1" applyFont="1" applyBorder="1" applyAlignment="1"/>
    <xf numFmtId="0" fontId="11" fillId="18" borderId="3" xfId="16" applyFont="1" applyBorder="1" applyAlignment="1"/>
    <xf numFmtId="4" fontId="11" fillId="18" borderId="3" xfId="16" applyNumberFormat="1" applyFont="1" applyBorder="1" applyAlignment="1">
      <alignment horizontal="right"/>
    </xf>
    <xf numFmtId="165" fontId="11" fillId="18" borderId="3" xfId="16" applyNumberFormat="1" applyFont="1" applyBorder="1" applyAlignment="1">
      <alignment horizontal="right"/>
    </xf>
    <xf numFmtId="4" fontId="12" fillId="18" borderId="3" xfId="16" applyNumberFormat="1" applyFont="1" applyBorder="1" applyAlignment="1"/>
    <xf numFmtId="2" fontId="11" fillId="18" borderId="3" xfId="16" applyNumberFormat="1" applyFont="1" applyBorder="1" applyAlignment="1">
      <alignment horizontal="center" vertical="center"/>
    </xf>
    <xf numFmtId="2" fontId="12" fillId="18" borderId="3" xfId="16" applyNumberFormat="1" applyFont="1" applyBorder="1" applyAlignment="1">
      <alignment horizontal="center" vertical="center"/>
    </xf>
    <xf numFmtId="165" fontId="11" fillId="18" borderId="3" xfId="16" applyNumberFormat="1" applyFont="1" applyBorder="1" applyAlignment="1">
      <alignment horizontal="center"/>
    </xf>
    <xf numFmtId="4" fontId="12" fillId="18" borderId="3" xfId="16" applyNumberFormat="1" applyFont="1" applyBorder="1" applyAlignment="1">
      <alignment wrapText="1"/>
    </xf>
    <xf numFmtId="0" fontId="12" fillId="18" borderId="3" xfId="16" applyFont="1" applyBorder="1" applyAlignment="1">
      <alignment horizontal="left" wrapText="1"/>
    </xf>
    <xf numFmtId="0" fontId="11" fillId="18" borderId="3" xfId="16" applyFont="1" applyBorder="1" applyAlignment="1">
      <alignment horizontal="right" wrapText="1"/>
    </xf>
    <xf numFmtId="2" fontId="11" fillId="18" borderId="3" xfId="16" applyNumberFormat="1" applyFont="1" applyBorder="1" applyAlignment="1">
      <alignment horizontal="right" wrapText="1"/>
    </xf>
    <xf numFmtId="0" fontId="11" fillId="18" borderId="3" xfId="16" applyFont="1" applyBorder="1" applyAlignment="1">
      <alignment horizontal="left" wrapText="1"/>
    </xf>
    <xf numFmtId="4" fontId="11" fillId="18" borderId="3" xfId="16" applyNumberFormat="1" applyFont="1" applyBorder="1" applyAlignment="1">
      <alignment horizontal="right" wrapText="1"/>
    </xf>
    <xf numFmtId="39" fontId="11" fillId="4" borderId="3" xfId="6" applyNumberFormat="1" applyFont="1" applyBorder="1"/>
    <xf numFmtId="39" fontId="11" fillId="4" borderId="3" xfId="6" applyNumberFormat="1" applyFont="1" applyBorder="1" applyAlignment="1">
      <alignment horizontal="right"/>
    </xf>
    <xf numFmtId="10" fontId="11" fillId="4" borderId="3" xfId="6" applyNumberFormat="1" applyFont="1" applyBorder="1" applyAlignment="1"/>
    <xf numFmtId="0" fontId="12" fillId="18" borderId="3" xfId="16" applyFont="1" applyBorder="1" applyAlignment="1">
      <alignment horizontal="left" vertical="top" wrapText="1"/>
    </xf>
    <xf numFmtId="178" fontId="11" fillId="18" borderId="3" xfId="16" applyNumberFormat="1" applyFont="1" applyBorder="1" applyAlignment="1">
      <alignment wrapText="1"/>
    </xf>
    <xf numFmtId="4" fontId="12" fillId="18" borderId="3" xfId="16" applyNumberFormat="1" applyFont="1" applyBorder="1" applyAlignment="1">
      <alignment horizontal="right" vertical="center"/>
    </xf>
    <xf numFmtId="4" fontId="11" fillId="18" borderId="3" xfId="16" applyNumberFormat="1" applyFont="1" applyBorder="1" applyAlignment="1">
      <alignment horizontal="right" vertical="center"/>
    </xf>
    <xf numFmtId="0" fontId="12" fillId="18" borderId="3" xfId="16" applyFont="1" applyBorder="1" applyAlignment="1">
      <alignment horizontal="left"/>
    </xf>
    <xf numFmtId="178" fontId="12" fillId="18" borderId="3" xfId="16" applyNumberFormat="1" applyFont="1" applyBorder="1" applyAlignment="1">
      <alignment horizontal="right" vertical="center"/>
    </xf>
    <xf numFmtId="178" fontId="12" fillId="4" borderId="3" xfId="6" applyNumberFormat="1" applyFont="1" applyBorder="1" applyAlignment="1">
      <alignment horizontal="right"/>
    </xf>
    <xf numFmtId="178" fontId="12" fillId="4" borderId="3" xfId="6" applyNumberFormat="1" applyFont="1" applyBorder="1"/>
    <xf numFmtId="178" fontId="12" fillId="18" borderId="3" xfId="16" applyNumberFormat="1" applyFont="1" applyBorder="1"/>
    <xf numFmtId="2" fontId="49" fillId="0" borderId="0" xfId="7" applyNumberFormat="1" applyFont="1" applyAlignment="1">
      <alignment horizontal="center" vertical="center"/>
    </xf>
    <xf numFmtId="0" fontId="50" fillId="0" borderId="0" xfId="7" applyFont="1"/>
    <xf numFmtId="0" fontId="50" fillId="0" borderId="0" xfId="7" applyFont="1" applyAlignment="1">
      <alignment horizontal="center"/>
    </xf>
    <xf numFmtId="0" fontId="50" fillId="0" borderId="0" xfId="7" applyFont="1" applyAlignment="1">
      <alignment horizontal="right" vertical="center"/>
    </xf>
    <xf numFmtId="165" fontId="7" fillId="0" borderId="0" xfId="1" applyFont="1" applyFill="1" applyBorder="1" applyAlignment="1">
      <alignment horizontal="right"/>
    </xf>
    <xf numFmtId="205" fontId="7" fillId="0" borderId="0" xfId="1" applyNumberFormat="1" applyFont="1" applyFill="1" applyBorder="1" applyAlignment="1">
      <alignment wrapText="1"/>
    </xf>
    <xf numFmtId="0" fontId="51" fillId="0" borderId="0" xfId="0" applyFont="1" applyAlignment="1">
      <alignment horizontal="right" vertical="center"/>
    </xf>
    <xf numFmtId="2" fontId="51" fillId="0" borderId="0" xfId="0" applyNumberFormat="1" applyFont="1" applyAlignment="1">
      <alignment horizontal="center"/>
    </xf>
    <xf numFmtId="0" fontId="5" fillId="0" borderId="0" xfId="13" applyFont="1"/>
    <xf numFmtId="43" fontId="13" fillId="0" borderId="0" xfId="17" applyFont="1" applyFill="1" applyBorder="1"/>
    <xf numFmtId="165" fontId="52" fillId="0" borderId="0" xfId="18" applyFont="1" applyFill="1" applyBorder="1" applyAlignment="1">
      <alignment horizontal="right"/>
    </xf>
    <xf numFmtId="206" fontId="25" fillId="0" borderId="0" xfId="19" applyNumberFormat="1" applyFont="1" applyAlignment="1">
      <alignment horizontal="center"/>
    </xf>
    <xf numFmtId="0" fontId="9" fillId="0" borderId="0" xfId="0" applyFont="1" applyAlignment="1">
      <alignment horizontal="center"/>
    </xf>
    <xf numFmtId="178" fontId="0" fillId="0" borderId="0" xfId="0" applyNumberFormat="1" applyAlignment="1">
      <alignment horizontal="center"/>
    </xf>
    <xf numFmtId="165" fontId="5" fillId="0" borderId="0" xfId="1" applyFont="1" applyFill="1" applyBorder="1" applyAlignment="1">
      <alignment wrapText="1"/>
    </xf>
    <xf numFmtId="10" fontId="11" fillId="0" borderId="0" xfId="0" applyNumberFormat="1" applyFont="1"/>
    <xf numFmtId="165" fontId="5" fillId="0" borderId="0" xfId="1" applyFont="1" applyFill="1" applyBorder="1" applyAlignment="1">
      <alignment horizontal="right" vertical="center"/>
    </xf>
    <xf numFmtId="0" fontId="13" fillId="0" borderId="0" xfId="19"/>
    <xf numFmtId="178" fontId="4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6" fillId="5" borderId="3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4" fontId="5" fillId="0" borderId="0" xfId="1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center" vertical="center" wrapText="1"/>
    </xf>
    <xf numFmtId="178" fontId="5" fillId="0" borderId="0" xfId="0" applyNumberFormat="1" applyFont="1" applyAlignment="1">
      <alignment horizontal="center"/>
    </xf>
    <xf numFmtId="178" fontId="5" fillId="0" borderId="0" xfId="1" applyNumberFormat="1" applyFont="1" applyBorder="1" applyAlignment="1">
      <alignment horizontal="center"/>
    </xf>
    <xf numFmtId="178" fontId="19" fillId="0" borderId="0" xfId="1" applyNumberFormat="1" applyFont="1" applyBorder="1" applyAlignment="1">
      <alignment horizontal="center"/>
    </xf>
    <xf numFmtId="178" fontId="19" fillId="0" borderId="0" xfId="0" applyNumberFormat="1" applyFont="1" applyAlignment="1">
      <alignment horizontal="center"/>
    </xf>
    <xf numFmtId="178" fontId="12" fillId="0" borderId="0" xfId="0" applyNumberFormat="1" applyFont="1" applyAlignment="1">
      <alignment horizontal="center"/>
    </xf>
    <xf numFmtId="178" fontId="7" fillId="0" borderId="0" xfId="0" applyNumberFormat="1" applyFont="1" applyAlignment="1">
      <alignment horizontal="center"/>
    </xf>
    <xf numFmtId="178" fontId="12" fillId="0" borderId="0" xfId="1" applyNumberFormat="1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181" fontId="5" fillId="0" borderId="0" xfId="0" applyNumberFormat="1" applyFont="1" applyAlignment="1">
      <alignment horizontal="center"/>
    </xf>
    <xf numFmtId="178" fontId="5" fillId="9" borderId="0" xfId="0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10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186" fontId="5" fillId="0" borderId="0" xfId="0" applyNumberFormat="1" applyFont="1" applyAlignment="1">
      <alignment horizontal="center"/>
    </xf>
    <xf numFmtId="4" fontId="19" fillId="0" borderId="0" xfId="1" applyNumberFormat="1" applyFont="1" applyBorder="1" applyAlignment="1">
      <alignment horizontal="center"/>
    </xf>
    <xf numFmtId="4" fontId="19" fillId="0" borderId="0" xfId="0" applyNumberFormat="1" applyFont="1" applyAlignment="1">
      <alignment horizontal="center"/>
    </xf>
    <xf numFmtId="4" fontId="12" fillId="9" borderId="0" xfId="0" applyNumberFormat="1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166" fontId="5" fillId="0" borderId="0" xfId="0" applyNumberFormat="1" applyFont="1" applyAlignment="1">
      <alignment horizontal="center"/>
    </xf>
    <xf numFmtId="166" fontId="5" fillId="0" borderId="0" xfId="1" applyNumberFormat="1" applyFont="1" applyBorder="1" applyAlignment="1">
      <alignment horizontal="center"/>
    </xf>
    <xf numFmtId="166" fontId="12" fillId="9" borderId="0" xfId="0" applyNumberFormat="1" applyFont="1" applyFill="1" applyAlignment="1">
      <alignment horizontal="center" wrapText="1"/>
    </xf>
    <xf numFmtId="191" fontId="5" fillId="0" borderId="0" xfId="1" applyNumberFormat="1" applyFont="1" applyBorder="1" applyAlignment="1">
      <alignment horizontal="center"/>
    </xf>
    <xf numFmtId="191" fontId="12" fillId="9" borderId="0" xfId="0" applyNumberFormat="1" applyFont="1" applyFill="1" applyAlignment="1">
      <alignment horizontal="center" wrapText="1"/>
    </xf>
    <xf numFmtId="191" fontId="5" fillId="0" borderId="0" xfId="0" applyNumberFormat="1" applyFont="1" applyAlignment="1">
      <alignment horizontal="center"/>
    </xf>
    <xf numFmtId="201" fontId="5" fillId="0" borderId="0" xfId="1" applyNumberFormat="1" applyFont="1" applyBorder="1" applyAlignment="1">
      <alignment horizontal="center"/>
    </xf>
    <xf numFmtId="178" fontId="5" fillId="19" borderId="0" xfId="0" applyNumberFormat="1" applyFont="1" applyFill="1" applyAlignment="1">
      <alignment horizontal="center"/>
    </xf>
    <xf numFmtId="166" fontId="19" fillId="0" borderId="0" xfId="1" applyNumberFormat="1" applyFont="1" applyBorder="1" applyAlignment="1">
      <alignment horizontal="center"/>
    </xf>
    <xf numFmtId="201" fontId="5" fillId="0" borderId="0" xfId="0" applyNumberFormat="1" applyFont="1" applyAlignment="1">
      <alignment horizontal="center"/>
    </xf>
    <xf numFmtId="204" fontId="5" fillId="0" borderId="0" xfId="1" applyNumberFormat="1" applyFont="1" applyBorder="1" applyAlignment="1">
      <alignment horizontal="center"/>
    </xf>
    <xf numFmtId="189" fontId="5" fillId="0" borderId="0" xfId="0" applyNumberFormat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0" fillId="2" borderId="2" xfId="4" applyFont="1" applyAlignment="1">
      <alignment horizontal="center"/>
    </xf>
    <xf numFmtId="0" fontId="12" fillId="4" borderId="3" xfId="6" applyFont="1" applyBorder="1" applyAlignment="1">
      <alignment horizontal="center"/>
    </xf>
    <xf numFmtId="188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2" fillId="12" borderId="0" xfId="0" applyNumberFormat="1" applyFont="1" applyFill="1" applyAlignment="1">
      <alignment horizontal="center"/>
    </xf>
    <xf numFmtId="0" fontId="11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8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191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179" fontId="5" fillId="0" borderId="0" xfId="0" applyNumberFormat="1" applyFont="1" applyAlignment="1">
      <alignment horizontal="center" wrapText="1"/>
    </xf>
    <xf numFmtId="178" fontId="5" fillId="0" borderId="0" xfId="11" applyNumberFormat="1" applyFont="1" applyBorder="1" applyAlignment="1">
      <alignment horizontal="center" wrapText="1"/>
    </xf>
    <xf numFmtId="178" fontId="5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179" fontId="5" fillId="0" borderId="0" xfId="11" applyNumberFormat="1" applyFont="1" applyBorder="1" applyAlignment="1">
      <alignment horizontal="center" wrapText="1"/>
    </xf>
    <xf numFmtId="179" fontId="29" fillId="0" borderId="0" xfId="11" applyNumberFormat="1" applyFont="1" applyBorder="1" applyAlignment="1">
      <alignment horizontal="center" wrapText="1"/>
    </xf>
    <xf numFmtId="178" fontId="29" fillId="0" borderId="0" xfId="0" applyNumberFormat="1" applyFont="1" applyAlignment="1">
      <alignment horizontal="center" wrapText="1"/>
    </xf>
    <xf numFmtId="178" fontId="29" fillId="0" borderId="0" xfId="11" applyNumberFormat="1" applyFont="1" applyBorder="1" applyAlignment="1">
      <alignment horizontal="center" wrapText="1"/>
    </xf>
    <xf numFmtId="0" fontId="19" fillId="0" borderId="0" xfId="0" applyFont="1" applyAlignment="1">
      <alignment horizontal="right" wrapText="1"/>
    </xf>
    <xf numFmtId="179" fontId="19" fillId="0" borderId="0" xfId="0" applyNumberFormat="1" applyFont="1" applyAlignment="1">
      <alignment horizontal="center" vertical="top" wrapText="1"/>
    </xf>
    <xf numFmtId="178" fontId="19" fillId="0" borderId="0" xfId="0" applyNumberFormat="1" applyFont="1" applyAlignment="1">
      <alignment horizontal="center" wrapText="1"/>
    </xf>
    <xf numFmtId="178" fontId="19" fillId="0" borderId="0" xfId="11" applyNumberFormat="1" applyFont="1" applyBorder="1" applyAlignment="1">
      <alignment horizontal="center" wrapText="1"/>
    </xf>
    <xf numFmtId="0" fontId="5" fillId="0" borderId="0" xfId="0" applyFont="1" applyAlignment="1">
      <alignment horizontal="right" vertical="top" wrapText="1"/>
    </xf>
    <xf numFmtId="179" fontId="19" fillId="0" borderId="0" xfId="0" applyNumberFormat="1" applyFont="1" applyAlignment="1">
      <alignment horizontal="center" vertical="center" wrapText="1"/>
    </xf>
    <xf numFmtId="178" fontId="19" fillId="0" borderId="0" xfId="0" applyNumberFormat="1" applyFont="1" applyAlignment="1">
      <alignment horizontal="center" vertical="center" wrapText="1"/>
    </xf>
    <xf numFmtId="178" fontId="19" fillId="0" borderId="0" xfId="11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wrapText="1"/>
    </xf>
    <xf numFmtId="178" fontId="12" fillId="0" borderId="0" xfId="11" applyNumberFormat="1" applyFont="1" applyBorder="1" applyAlignment="1">
      <alignment horizontal="center" wrapText="1"/>
    </xf>
    <xf numFmtId="179" fontId="12" fillId="0" borderId="0" xfId="11" applyNumberFormat="1" applyFont="1" applyBorder="1" applyAlignment="1">
      <alignment horizontal="center" wrapText="1"/>
    </xf>
    <xf numFmtId="178" fontId="12" fillId="9" borderId="0" xfId="0" applyNumberFormat="1" applyFont="1" applyFill="1" applyAlignment="1">
      <alignment horizontal="center" wrapText="1"/>
    </xf>
    <xf numFmtId="178" fontId="7" fillId="0" borderId="0" xfId="0" applyNumberFormat="1" applyFont="1" applyAlignment="1">
      <alignment horizontal="center" vertical="top" wrapText="1"/>
    </xf>
    <xf numFmtId="179" fontId="19" fillId="0" borderId="0" xfId="0" applyNumberFormat="1" applyFont="1" applyAlignment="1">
      <alignment horizontal="center" wrapText="1"/>
    </xf>
    <xf numFmtId="179" fontId="40" fillId="0" borderId="0" xfId="0" applyNumberFormat="1" applyFont="1" applyAlignment="1">
      <alignment horizontal="center" wrapText="1"/>
    </xf>
    <xf numFmtId="178" fontId="12" fillId="20" borderId="0" xfId="0" applyNumberFormat="1" applyFont="1" applyFill="1" applyAlignment="1">
      <alignment horizontal="center"/>
    </xf>
    <xf numFmtId="178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178" fontId="5" fillId="0" borderId="0" xfId="1" applyNumberFormat="1" applyFont="1" applyFill="1" applyBorder="1" applyAlignment="1">
      <alignment horizontal="center" vertical="center"/>
    </xf>
    <xf numFmtId="179" fontId="12" fillId="0" borderId="0" xfId="0" applyNumberFormat="1" applyFont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179" fontId="5" fillId="0" borderId="0" xfId="0" applyNumberFormat="1" applyFont="1" applyAlignment="1">
      <alignment horizontal="center"/>
    </xf>
    <xf numFmtId="179" fontId="19" fillId="0" borderId="0" xfId="1" applyNumberFormat="1" applyFont="1" applyBorder="1" applyAlignment="1">
      <alignment horizontal="center"/>
    </xf>
    <xf numFmtId="179" fontId="5" fillId="0" borderId="0" xfId="1" applyNumberFormat="1" applyFont="1" applyFill="1" applyBorder="1" applyAlignment="1">
      <alignment horizontal="center" vertical="center"/>
    </xf>
    <xf numFmtId="179" fontId="11" fillId="0" borderId="0" xfId="0" applyNumberFormat="1" applyFont="1" applyAlignment="1">
      <alignment horizontal="center"/>
    </xf>
    <xf numFmtId="179" fontId="5" fillId="0" borderId="0" xfId="7" applyNumberFormat="1" applyFont="1" applyAlignment="1">
      <alignment horizontal="center"/>
    </xf>
    <xf numFmtId="179" fontId="5" fillId="0" borderId="0" xfId="19" applyNumberFormat="1" applyFont="1" applyAlignment="1">
      <alignment horizontal="center"/>
    </xf>
    <xf numFmtId="179" fontId="5" fillId="0" borderId="0" xfId="17" applyNumberFormat="1" applyFont="1" applyFill="1" applyBorder="1" applyAlignment="1">
      <alignment horizontal="center"/>
    </xf>
    <xf numFmtId="179" fontId="5" fillId="0" borderId="0" xfId="7" applyNumberFormat="1" applyFont="1" applyAlignment="1">
      <alignment horizontal="center" vertical="center"/>
    </xf>
    <xf numFmtId="179" fontId="5" fillId="0" borderId="0" xfId="2" applyNumberFormat="1" applyFont="1" applyFill="1" applyBorder="1" applyAlignment="1">
      <alignment horizontal="center"/>
    </xf>
    <xf numFmtId="0" fontId="5" fillId="0" borderId="0" xfId="7" applyFont="1" applyAlignment="1">
      <alignment horizontal="center" vertical="center"/>
    </xf>
    <xf numFmtId="178" fontId="5" fillId="0" borderId="0" xfId="1" applyNumberFormat="1" applyFon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0" fontId="6" fillId="5" borderId="5" xfId="0" applyFont="1" applyFill="1" applyBorder="1" applyAlignment="1">
      <alignment horizontal="left"/>
    </xf>
    <xf numFmtId="0" fontId="6" fillId="5" borderId="28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6" fillId="7" borderId="28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195" fontId="5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41" fillId="15" borderId="0" xfId="0" applyFont="1" applyFill="1" applyAlignment="1">
      <alignment horizontal="center" wrapText="1"/>
    </xf>
    <xf numFmtId="0" fontId="42" fillId="0" borderId="0" xfId="13" applyFont="1" applyAlignment="1">
      <alignment horizontal="center" vertical="top" wrapText="1"/>
    </xf>
    <xf numFmtId="195" fontId="5" fillId="0" borderId="0" xfId="0" applyNumberFormat="1" applyFont="1" applyAlignment="1">
      <alignment horizontal="left" wrapText="1"/>
    </xf>
    <xf numFmtId="0" fontId="9" fillId="16" borderId="2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78" fontId="5" fillId="0" borderId="0" xfId="0" applyNumberFormat="1" applyFont="1" applyAlignment="1">
      <alignment horizontal="center" vertical="center" wrapText="1"/>
    </xf>
    <xf numFmtId="4" fontId="5" fillId="0" borderId="0" xfId="1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4" fontId="19" fillId="0" borderId="0" xfId="1" applyNumberFormat="1" applyFont="1" applyBorder="1" applyAlignment="1">
      <alignment horizontal="center" wrapText="1"/>
    </xf>
    <xf numFmtId="178" fontId="5" fillId="0" borderId="0" xfId="1" applyNumberFormat="1" applyFont="1" applyBorder="1" applyAlignment="1">
      <alignment horizontal="center" wrapText="1"/>
    </xf>
    <xf numFmtId="181" fontId="12" fillId="0" borderId="0" xfId="1" applyNumberFormat="1" applyFont="1" applyBorder="1" applyAlignment="1">
      <alignment horizontal="center" wrapText="1"/>
    </xf>
    <xf numFmtId="181" fontId="5" fillId="0" borderId="0" xfId="0" applyNumberFormat="1" applyFont="1" applyAlignment="1">
      <alignment horizontal="center" wrapText="1"/>
    </xf>
    <xf numFmtId="181" fontId="5" fillId="0" borderId="0" xfId="1" applyNumberFormat="1" applyFont="1" applyBorder="1" applyAlignment="1">
      <alignment horizontal="center" wrapText="1"/>
    </xf>
    <xf numFmtId="181" fontId="19" fillId="0" borderId="0" xfId="0" applyNumberFormat="1" applyFont="1" applyAlignment="1">
      <alignment horizontal="center" wrapText="1"/>
    </xf>
    <xf numFmtId="181" fontId="19" fillId="0" borderId="0" xfId="1" applyNumberFormat="1" applyFont="1" applyBorder="1" applyAlignment="1">
      <alignment horizontal="center" wrapText="1"/>
    </xf>
    <xf numFmtId="181" fontId="21" fillId="17" borderId="0" xfId="0" applyNumberFormat="1" applyFont="1" applyFill="1" applyAlignment="1">
      <alignment horizontal="center" wrapText="1"/>
    </xf>
    <xf numFmtId="39" fontId="12" fillId="0" borderId="0" xfId="1" applyNumberFormat="1" applyFont="1" applyBorder="1" applyAlignment="1">
      <alignment horizontal="center" wrapText="1"/>
    </xf>
    <xf numFmtId="39" fontId="5" fillId="0" borderId="0" xfId="0" applyNumberFormat="1" applyFont="1" applyAlignment="1">
      <alignment horizontal="center" wrapText="1"/>
    </xf>
    <xf numFmtId="181" fontId="5" fillId="9" borderId="0" xfId="0" applyNumberFormat="1" applyFont="1" applyFill="1" applyAlignment="1">
      <alignment horizontal="center" wrapText="1"/>
    </xf>
    <xf numFmtId="0" fontId="53" fillId="0" borderId="0" xfId="0" applyFont="1" applyAlignment="1">
      <alignment horizontal="center" vertical="top"/>
    </xf>
    <xf numFmtId="0" fontId="53" fillId="0" borderId="0" xfId="0" applyFont="1" applyAlignment="1">
      <alignment horizontal="left" vertical="top"/>
    </xf>
    <xf numFmtId="0" fontId="54" fillId="0" borderId="0" xfId="0" applyFont="1" applyAlignment="1">
      <alignment horizontal="center" vertical="top"/>
    </xf>
    <xf numFmtId="0" fontId="55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57" fillId="0" borderId="0" xfId="0" applyFont="1" applyAlignment="1">
      <alignment vertical="top"/>
    </xf>
    <xf numFmtId="0" fontId="58" fillId="0" borderId="0" xfId="0" applyFont="1" applyAlignment="1"/>
    <xf numFmtId="0" fontId="56" fillId="0" borderId="0" xfId="0" applyFont="1" applyAlignment="1">
      <alignment horizontal="center" vertical="top"/>
    </xf>
    <xf numFmtId="0" fontId="56" fillId="0" borderId="0" xfId="0" applyFont="1" applyAlignment="1">
      <alignment vertical="top"/>
    </xf>
  </cellXfs>
  <cellStyles count="20">
    <cellStyle name="20% - Énfasis1" xfId="5" builtinId="30"/>
    <cellStyle name="20% - Énfasis4" xfId="6" builtinId="42"/>
    <cellStyle name="40% - Énfasis5" xfId="16" builtinId="47"/>
    <cellStyle name="Comma 2" xfId="18" xr:uid="{C27FBD0E-4BD8-489D-88E9-B020E7635AA3}"/>
    <cellStyle name="Currency 2" xfId="15" xr:uid="{6C66DAC7-DC0A-4F1C-9950-4B470CEE2E3B}"/>
    <cellStyle name="Millares" xfId="1" builtinId="3"/>
    <cellStyle name="Millares 10" xfId="11" xr:uid="{E0D9A424-E995-4780-A6BA-FC9A83BC0A5E}"/>
    <cellStyle name="Millares 2" xfId="17" xr:uid="{C184EAEA-FD0E-43F1-9517-9BDF342A7298}"/>
    <cellStyle name="Millares_PROYECTO PADRE GRANERO AGUAS NEGRAS" xfId="9" xr:uid="{520FFE50-5550-40C1-B463-A0776B40FCB8}"/>
    <cellStyle name="Moneda" xfId="2" builtinId="4"/>
    <cellStyle name="Normal" xfId="0" builtinId="0"/>
    <cellStyle name="Normal 2 2 2" xfId="13" xr:uid="{4441EE96-3ACC-4152-A5FD-EBD8E2368B0F}"/>
    <cellStyle name="Normal 2 3 2 2" xfId="8" xr:uid="{51DC3C6D-0687-49DB-BCCE-5D29F0E9D6A9}"/>
    <cellStyle name="Normal 2 6" xfId="7" xr:uid="{F7F68417-DFF6-4738-96C9-DDEE52574748}"/>
    <cellStyle name="Normal 3 3" xfId="19" xr:uid="{13EFE014-00A5-4FBF-8131-C8DBB12CB8F7}"/>
    <cellStyle name="Normal 3 4" xfId="12" xr:uid="{B811621E-B3EA-4218-A3FE-68D4B8ED3E58}"/>
    <cellStyle name="Normal 3_PRESUPTO CALLES DEL MUNIC. DE GUERRA" xfId="14" xr:uid="{FF377B6B-E373-4BE9-83BC-A9169DA6FAF5}"/>
    <cellStyle name="Normal 6" xfId="10" xr:uid="{264BE1C6-92E6-4F59-B14E-A5CA14928593}"/>
    <cellStyle name="Porcentaje" xfId="3" builtinId="5"/>
    <cellStyle name="Salida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4</xdr:row>
      <xdr:rowOff>57150</xdr:rowOff>
    </xdr:from>
    <xdr:to>
      <xdr:col>1</xdr:col>
      <xdr:colOff>571500</xdr:colOff>
      <xdr:row>9</xdr:row>
      <xdr:rowOff>142875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F61030C8-1F69-422E-8610-A76A4A89D6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819150"/>
          <a:ext cx="1257300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19050</xdr:rowOff>
    </xdr:from>
    <xdr:to>
      <xdr:col>1</xdr:col>
      <xdr:colOff>841913</xdr:colOff>
      <xdr:row>6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229C610-5B48-41AD-8599-27B8E434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7800"/>
          <a:ext cx="1305463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371</xdr:row>
      <xdr:rowOff>53974</xdr:rowOff>
    </xdr:from>
    <xdr:to>
      <xdr:col>1</xdr:col>
      <xdr:colOff>1586564</xdr:colOff>
      <xdr:row>375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7E689E-F90F-40F5-9B49-A35A36CCD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" y="67960874"/>
          <a:ext cx="1386539" cy="1139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19050</xdr:rowOff>
    </xdr:from>
    <xdr:to>
      <xdr:col>1</xdr:col>
      <xdr:colOff>841913</xdr:colOff>
      <xdr:row>6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B8075DB-AD86-4BB2-A178-4F5147ACD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7800"/>
          <a:ext cx="1305463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371</xdr:row>
      <xdr:rowOff>53974</xdr:rowOff>
    </xdr:from>
    <xdr:to>
      <xdr:col>1</xdr:col>
      <xdr:colOff>1586564</xdr:colOff>
      <xdr:row>375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063369-22C2-492E-A6AE-01991A0FA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25" y="67960874"/>
          <a:ext cx="1386539" cy="1139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2</xdr:row>
      <xdr:rowOff>30958</xdr:rowOff>
    </xdr:from>
    <xdr:to>
      <xdr:col>1</xdr:col>
      <xdr:colOff>1000126</xdr:colOff>
      <xdr:row>7</xdr:row>
      <xdr:rowOff>7855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E55FA8D-727D-47C4-8BD9-7DC1BD901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399258"/>
          <a:ext cx="1549400" cy="980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476252</xdr:colOff>
      <xdr:row>57</xdr:row>
      <xdr:rowOff>69059</xdr:rowOff>
    </xdr:from>
    <xdr:to>
      <xdr:col>1</xdr:col>
      <xdr:colOff>1149704</xdr:colOff>
      <xdr:row>63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41393C-3034-47B5-83DA-CEDB10CA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2" y="11664159"/>
          <a:ext cx="1479902" cy="115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920</xdr:row>
      <xdr:rowOff>71915</xdr:rowOff>
    </xdr:from>
    <xdr:to>
      <xdr:col>1</xdr:col>
      <xdr:colOff>676274</xdr:colOff>
      <xdr:row>925</xdr:row>
      <xdr:rowOff>5838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CB2D09-A696-4214-8D30-3296E4BF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2017215"/>
          <a:ext cx="1377949" cy="1121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</xdr:row>
      <xdr:rowOff>71916</xdr:rowOff>
    </xdr:from>
    <xdr:to>
      <xdr:col>1</xdr:col>
      <xdr:colOff>714375</xdr:colOff>
      <xdr:row>6</xdr:row>
      <xdr:rowOff>37088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98CD16-98FE-454D-AE56-BA46D913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56066"/>
          <a:ext cx="1377950" cy="88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0</xdr:row>
      <xdr:rowOff>57151</xdr:rowOff>
    </xdr:from>
    <xdr:to>
      <xdr:col>1</xdr:col>
      <xdr:colOff>1182135</xdr:colOff>
      <xdr:row>5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7EBE8CB-F275-44B0-8C76-301A12086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57151"/>
          <a:ext cx="1201185" cy="987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203199</xdr:colOff>
      <xdr:row>118</xdr:row>
      <xdr:rowOff>133350</xdr:rowOff>
    </xdr:from>
    <xdr:to>
      <xdr:col>1</xdr:col>
      <xdr:colOff>1447800</xdr:colOff>
      <xdr:row>125</xdr:row>
      <xdr:rowOff>95495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F4A656-6FED-4111-AD08-242583CBC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199" y="23679150"/>
          <a:ext cx="1244601" cy="1251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85726</xdr:rowOff>
    </xdr:from>
    <xdr:to>
      <xdr:col>1</xdr:col>
      <xdr:colOff>559443</xdr:colOff>
      <xdr:row>7</xdr:row>
      <xdr:rowOff>66676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19E6805-D892-4959-8DC3-A18335430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54026"/>
          <a:ext cx="1254768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133351</xdr:colOff>
      <xdr:row>97</xdr:row>
      <xdr:rowOff>57150</xdr:rowOff>
    </xdr:from>
    <xdr:to>
      <xdr:col>1</xdr:col>
      <xdr:colOff>623876</xdr:colOff>
      <xdr:row>102</xdr:row>
      <xdr:rowOff>76199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3D9DE0-262E-472A-8AE0-8C058F260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29279850"/>
          <a:ext cx="1252525" cy="939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85726</xdr:rowOff>
    </xdr:from>
    <xdr:to>
      <xdr:col>1</xdr:col>
      <xdr:colOff>559443</xdr:colOff>
      <xdr:row>7</xdr:row>
      <xdr:rowOff>66676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BF21FE-67C8-4C3F-9554-3210BB74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54026"/>
          <a:ext cx="1254768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152401</xdr:colOff>
      <xdr:row>97</xdr:row>
      <xdr:rowOff>142875</xdr:rowOff>
    </xdr:from>
    <xdr:to>
      <xdr:col>1</xdr:col>
      <xdr:colOff>764858</xdr:colOff>
      <xdr:row>105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D81AD5-D36F-4C07-BFA5-DEE74B28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23580725"/>
          <a:ext cx="1374457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</xdr:row>
      <xdr:rowOff>17886</xdr:rowOff>
    </xdr:from>
    <xdr:to>
      <xdr:col>1</xdr:col>
      <xdr:colOff>638175</xdr:colOff>
      <xdr:row>7</xdr:row>
      <xdr:rowOff>66676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D0D4207-6333-4ABD-AC95-DE96F7570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6186"/>
          <a:ext cx="1187450" cy="96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72</xdr:row>
      <xdr:rowOff>47625</xdr:rowOff>
    </xdr:from>
    <xdr:to>
      <xdr:col>1</xdr:col>
      <xdr:colOff>823900</xdr:colOff>
      <xdr:row>77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53D543-6AF7-45D5-B1E4-D4B94F15B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576425"/>
          <a:ext cx="1258875" cy="939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371476</xdr:colOff>
      <xdr:row>1</xdr:row>
      <xdr:rowOff>85726</xdr:rowOff>
    </xdr:from>
    <xdr:to>
      <xdr:col>1</xdr:col>
      <xdr:colOff>903274</xdr:colOff>
      <xdr:row>6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D0DB263-2403-48D8-8A01-F22F2C92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269876"/>
          <a:ext cx="1147748" cy="1063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307975</xdr:colOff>
      <xdr:row>207</xdr:row>
      <xdr:rowOff>117474</xdr:rowOff>
    </xdr:from>
    <xdr:to>
      <xdr:col>1</xdr:col>
      <xdr:colOff>1133475</xdr:colOff>
      <xdr:row>212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B6BE6A-D91E-4A8A-9DC2-DEC2B1FD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5" y="42992674"/>
          <a:ext cx="1441450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371476</xdr:colOff>
      <xdr:row>1</xdr:row>
      <xdr:rowOff>114301</xdr:rowOff>
    </xdr:from>
    <xdr:to>
      <xdr:col>1</xdr:col>
      <xdr:colOff>952500</xdr:colOff>
      <xdr:row>6</xdr:row>
      <xdr:rowOff>70663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CA1D0CB-AF59-4CC4-A245-C1EEBF15B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298451"/>
          <a:ext cx="1196974" cy="106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260350</xdr:colOff>
      <xdr:row>44</xdr:row>
      <xdr:rowOff>136525</xdr:rowOff>
    </xdr:from>
    <xdr:to>
      <xdr:col>1</xdr:col>
      <xdr:colOff>854589</xdr:colOff>
      <xdr:row>48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069EB9-361F-4309-912A-E08B7F41C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9534525"/>
          <a:ext cx="1210189" cy="109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28575</xdr:rowOff>
    </xdr:from>
    <xdr:to>
      <xdr:col>1</xdr:col>
      <xdr:colOff>1590675</xdr:colOff>
      <xdr:row>6</xdr:row>
      <xdr:rowOff>190500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7C076A03-69F5-4B2D-B05D-9651D6C785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5375" y="219075"/>
          <a:ext cx="1257300" cy="1209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85725</xdr:rowOff>
    </xdr:from>
    <xdr:to>
      <xdr:col>1</xdr:col>
      <xdr:colOff>590550</xdr:colOff>
      <xdr:row>7</xdr:row>
      <xdr:rowOff>76200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72A0F8ED-B785-4AA9-BB97-B4B02B9F59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5250" y="276225"/>
          <a:ext cx="1257300" cy="1238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scalizacion\Valiosa\Cubicaciones%20obras%202022\san%20marcos\CUBICACION%20SAN%20MARCOS%2011.xlsx" TargetMode="External"/><Relationship Id="rId1" Type="http://schemas.openxmlformats.org/officeDocument/2006/relationships/externalLinkPath" Target="file:///Z:\Fiscalizacion\Valiosa\Cubicaciones%20obras%202022\san%20marcos\CUBICACION%20SAN%20MARCOS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B.1"/>
      <sheetName val="cub.2 "/>
      <sheetName val="Hoja1"/>
      <sheetName val="cub.3"/>
      <sheetName val="CUB.4"/>
    </sheetNames>
    <sheetDataSet>
      <sheetData sheetId="0">
        <row r="25">
          <cell r="H25">
            <v>843.75</v>
          </cell>
        </row>
      </sheetData>
      <sheetData sheetId="1">
        <row r="34">
          <cell r="G34">
            <v>575.73420999999996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1B0AB-8A52-4FBC-98F5-8B5776CFC461}">
  <dimension ref="A4:I15"/>
  <sheetViews>
    <sheetView tabSelected="1" workbookViewId="0">
      <selection activeCell="M24" sqref="M24"/>
    </sheetView>
  </sheetViews>
  <sheetFormatPr baseColWidth="10" defaultRowHeight="15"/>
  <sheetData>
    <row r="4" spans="1:9">
      <c r="B4" s="1143"/>
      <c r="C4" s="1144"/>
      <c r="D4" s="1143"/>
      <c r="E4" s="1143"/>
      <c r="F4" s="1143"/>
      <c r="G4" s="1143"/>
      <c r="H4" s="1143"/>
      <c r="I4" s="1143"/>
    </row>
    <row r="5" spans="1:9">
      <c r="B5" s="1143"/>
      <c r="C5" s="1144"/>
      <c r="D5" s="1143"/>
      <c r="E5" s="1143"/>
      <c r="F5" s="1143"/>
      <c r="G5" s="1143"/>
      <c r="H5" s="1143"/>
      <c r="I5" s="1143"/>
    </row>
    <row r="6" spans="1:9" ht="15.75">
      <c r="B6" s="1145" t="s">
        <v>795</v>
      </c>
      <c r="C6" s="1145"/>
      <c r="D6" s="1145"/>
      <c r="E6" s="1145"/>
      <c r="F6" s="1145"/>
      <c r="G6" s="1145"/>
      <c r="H6" s="1145"/>
      <c r="I6" s="1145"/>
    </row>
    <row r="7" spans="1:9" ht="15.75">
      <c r="B7" s="1145" t="s">
        <v>796</v>
      </c>
      <c r="C7" s="1145"/>
      <c r="D7" s="1145"/>
      <c r="E7" s="1145"/>
      <c r="F7" s="1145"/>
      <c r="G7" s="1145"/>
      <c r="H7" s="1145"/>
      <c r="I7" s="1145"/>
    </row>
    <row r="8" spans="1:9" ht="24.75" customHeight="1">
      <c r="A8" s="1151"/>
      <c r="B8" s="1150" t="s">
        <v>801</v>
      </c>
      <c r="C8" s="1150"/>
      <c r="D8" s="1150"/>
      <c r="E8" s="1150"/>
      <c r="F8" s="1150"/>
      <c r="G8" s="1150"/>
      <c r="H8" s="1150"/>
      <c r="I8" s="1150"/>
    </row>
    <row r="9" spans="1:9" ht="21.75" customHeight="1">
      <c r="B9" s="1145" t="s">
        <v>798</v>
      </c>
      <c r="C9" s="1145"/>
      <c r="D9" s="1145"/>
      <c r="E9" s="1145"/>
      <c r="F9" s="1145"/>
      <c r="G9" s="1145"/>
      <c r="H9" s="1145"/>
      <c r="I9" s="1145"/>
    </row>
    <row r="10" spans="1:9">
      <c r="B10" s="1143"/>
      <c r="C10" s="1144"/>
      <c r="D10" s="1143"/>
      <c r="E10" s="1143"/>
      <c r="F10" s="1143"/>
      <c r="G10" s="1143"/>
      <c r="H10" s="1143"/>
      <c r="I10" s="1143"/>
    </row>
    <row r="11" spans="1:9">
      <c r="B11" s="1143"/>
      <c r="C11" s="1144"/>
      <c r="D11" s="1143"/>
      <c r="E11" s="1143"/>
      <c r="F11" s="1143"/>
      <c r="G11" s="1143"/>
      <c r="H11" s="1143"/>
      <c r="I11" s="1143"/>
    </row>
    <row r="12" spans="1:9">
      <c r="B12" s="1143"/>
      <c r="C12" s="1144"/>
      <c r="D12" s="1143"/>
      <c r="E12" s="1143"/>
      <c r="F12" s="1143"/>
      <c r="G12" s="1143"/>
      <c r="H12" s="1143"/>
      <c r="I12" s="1143"/>
    </row>
    <row r="13" spans="1:9">
      <c r="B13" s="1143"/>
      <c r="C13" s="1144"/>
      <c r="D13" s="1143"/>
      <c r="E13" s="1143"/>
      <c r="F13" s="1143"/>
      <c r="G13" s="1143"/>
      <c r="H13" s="1143"/>
      <c r="I13" s="1143"/>
    </row>
    <row r="14" spans="1:9">
      <c r="B14" s="1143"/>
      <c r="C14" s="1144"/>
      <c r="D14" s="1143"/>
      <c r="E14" s="1143"/>
      <c r="F14" s="1143"/>
      <c r="G14" s="1143"/>
      <c r="H14" s="1143"/>
      <c r="I14" s="1143"/>
    </row>
    <row r="15" spans="1:9" ht="15.75">
      <c r="E15" s="1149" t="s">
        <v>800</v>
      </c>
      <c r="F15" s="1149"/>
    </row>
  </sheetData>
  <mergeCells count="4">
    <mergeCell ref="B6:I6"/>
    <mergeCell ref="B7:I7"/>
    <mergeCell ref="B9:I9"/>
    <mergeCell ref="B8:I8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3E0B-02EC-4831-A5D4-00ADF9658696}">
  <dimension ref="A1:O414"/>
  <sheetViews>
    <sheetView workbookViewId="0">
      <selection activeCell="G59" sqref="G59"/>
    </sheetView>
  </sheetViews>
  <sheetFormatPr baseColWidth="10" defaultColWidth="10.85546875" defaultRowHeight="15"/>
  <cols>
    <col min="1" max="1" width="7.42578125" customWidth="1"/>
    <col min="2" max="2" width="42" customWidth="1"/>
    <col min="3" max="3" width="17" customWidth="1"/>
    <col min="4" max="4" width="6.140625" customWidth="1"/>
    <col min="5" max="5" width="11" customWidth="1"/>
    <col min="6" max="6" width="15.140625" bestFit="1" customWidth="1"/>
    <col min="7" max="7" width="11.140625" bestFit="1" customWidth="1"/>
    <col min="8" max="8" width="11.42578125" bestFit="1" customWidth="1"/>
    <col min="9" max="9" width="12.140625" customWidth="1"/>
    <col min="10" max="10" width="8.140625" customWidth="1"/>
    <col min="11" max="11" width="11.42578125" customWidth="1"/>
    <col min="12" max="12" width="14.140625" customWidth="1"/>
    <col min="13" max="14" width="15.42578125" customWidth="1"/>
    <col min="15" max="15" width="15.42578125" bestFit="1" customWidth="1"/>
  </cols>
  <sheetData>
    <row r="1" spans="1:14">
      <c r="A1" s="1004" t="s">
        <v>0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</row>
    <row r="2" spans="1:14">
      <c r="A2" s="1005" t="s">
        <v>1</v>
      </c>
      <c r="B2" s="1005"/>
      <c r="C2" s="1005"/>
      <c r="D2" s="1005"/>
      <c r="E2" s="1005"/>
      <c r="F2" s="1005"/>
      <c r="G2" s="1005"/>
      <c r="H2" s="1005"/>
      <c r="I2" s="1005"/>
      <c r="J2" s="1005"/>
      <c r="K2" s="1005"/>
      <c r="L2" s="1005"/>
      <c r="M2" s="1005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4" t="s">
        <v>120</v>
      </c>
      <c r="N3" s="442"/>
    </row>
    <row r="4" spans="1:14">
      <c r="A4" s="3"/>
      <c r="B4" s="4" t="s">
        <v>2</v>
      </c>
      <c r="C4" s="8" t="s">
        <v>340</v>
      </c>
      <c r="D4" s="8"/>
      <c r="E4" s="8"/>
      <c r="F4" s="8"/>
      <c r="G4" s="323"/>
      <c r="H4" s="3"/>
      <c r="I4" s="3"/>
      <c r="J4" s="3"/>
      <c r="K4" s="1064" t="s">
        <v>4</v>
      </c>
      <c r="L4" s="1064"/>
      <c r="M4" s="444">
        <v>110999733.32652724</v>
      </c>
      <c r="N4" s="445"/>
    </row>
    <row r="5" spans="1:14">
      <c r="A5" s="3"/>
      <c r="B5" s="4" t="s">
        <v>5</v>
      </c>
      <c r="C5" s="7">
        <v>5</v>
      </c>
      <c r="D5" s="3"/>
      <c r="E5" s="8"/>
      <c r="F5" s="8"/>
      <c r="G5" s="8"/>
      <c r="H5" s="3"/>
      <c r="I5" s="3"/>
      <c r="J5" s="3"/>
      <c r="K5" s="3"/>
      <c r="L5" s="4" t="s">
        <v>6</v>
      </c>
      <c r="M5" s="6" t="s">
        <v>341</v>
      </c>
      <c r="N5" s="446"/>
    </row>
    <row r="6" spans="1:14">
      <c r="A6" s="3"/>
      <c r="B6" s="4" t="s">
        <v>7</v>
      </c>
      <c r="C6" s="8" t="s">
        <v>342</v>
      </c>
      <c r="D6" s="8"/>
      <c r="E6" s="8"/>
      <c r="F6" s="8"/>
      <c r="G6" s="11"/>
      <c r="H6" s="3"/>
      <c r="I6" s="3"/>
      <c r="J6" s="3"/>
      <c r="K6" s="3"/>
      <c r="L6" s="4" t="s">
        <v>9</v>
      </c>
      <c r="M6" s="13" t="s">
        <v>343</v>
      </c>
      <c r="N6" s="446"/>
    </row>
    <row r="7" spans="1:14">
      <c r="A7" s="3"/>
      <c r="B7" s="4" t="s">
        <v>11</v>
      </c>
      <c r="C7" s="8" t="s">
        <v>344</v>
      </c>
      <c r="D7" s="8"/>
      <c r="E7" s="8"/>
      <c r="F7" s="8"/>
      <c r="G7" s="8"/>
      <c r="H7" s="3"/>
      <c r="I7" s="3"/>
      <c r="J7" s="3"/>
      <c r="K7" s="3"/>
      <c r="L7" s="3"/>
      <c r="M7" s="3"/>
      <c r="N7" s="447"/>
    </row>
    <row r="8" spans="1:14">
      <c r="A8" s="1031" t="s">
        <v>181</v>
      </c>
      <c r="B8" s="1031"/>
      <c r="C8" s="1031"/>
      <c r="D8" s="1031"/>
      <c r="E8" s="1031"/>
      <c r="F8" s="1031"/>
      <c r="G8" s="1008" t="s">
        <v>14</v>
      </c>
      <c r="H8" s="1008"/>
      <c r="I8" s="1008"/>
      <c r="J8" s="1008"/>
      <c r="K8" s="1009" t="s">
        <v>15</v>
      </c>
      <c r="L8" s="1009"/>
      <c r="M8" s="1009"/>
      <c r="N8" s="7"/>
    </row>
    <row r="9" spans="1:14" ht="24">
      <c r="A9" s="448" t="s">
        <v>16</v>
      </c>
      <c r="B9" s="449" t="s">
        <v>17</v>
      </c>
      <c r="C9" s="449" t="s">
        <v>19</v>
      </c>
      <c r="D9" s="449" t="s">
        <v>32</v>
      </c>
      <c r="E9" s="450" t="s">
        <v>20</v>
      </c>
      <c r="F9" s="450" t="s">
        <v>21</v>
      </c>
      <c r="G9" s="451" t="s">
        <v>22</v>
      </c>
      <c r="H9" s="451" t="s">
        <v>23</v>
      </c>
      <c r="I9" s="452" t="s">
        <v>24</v>
      </c>
      <c r="J9" s="453" t="s">
        <v>25</v>
      </c>
      <c r="K9" s="454" t="s">
        <v>22</v>
      </c>
      <c r="L9" s="455" t="s">
        <v>23</v>
      </c>
      <c r="M9" s="455" t="s">
        <v>24</v>
      </c>
      <c r="N9" s="456"/>
    </row>
    <row r="10" spans="1:14">
      <c r="A10" s="457" t="s">
        <v>247</v>
      </c>
      <c r="B10" s="458" t="s">
        <v>182</v>
      </c>
      <c r="C10" s="457"/>
      <c r="D10" s="459"/>
      <c r="E10" s="457"/>
      <c r="F10" s="457"/>
      <c r="G10" s="460"/>
      <c r="H10" s="461"/>
      <c r="I10" s="462"/>
      <c r="J10" s="463"/>
      <c r="K10" s="464"/>
      <c r="L10" s="465"/>
      <c r="M10" s="465"/>
      <c r="N10" s="466"/>
    </row>
    <row r="11" spans="1:14">
      <c r="A11" s="457">
        <v>1</v>
      </c>
      <c r="B11" s="458" t="s">
        <v>345</v>
      </c>
      <c r="C11" s="457"/>
      <c r="D11" s="459"/>
      <c r="E11" s="457"/>
      <c r="F11" s="457"/>
      <c r="G11" s="460"/>
      <c r="H11" s="461"/>
      <c r="I11" s="462"/>
      <c r="J11" s="463"/>
      <c r="K11" s="464"/>
      <c r="L11" s="465"/>
      <c r="M11" s="465"/>
      <c r="N11" s="466"/>
    </row>
    <row r="12" spans="1:14">
      <c r="A12" s="467">
        <v>1.01</v>
      </c>
      <c r="B12" s="468" t="s">
        <v>346</v>
      </c>
      <c r="C12" s="469">
        <v>3</v>
      </c>
      <c r="D12" s="470" t="s">
        <v>50</v>
      </c>
      <c r="E12" s="471">
        <v>21240</v>
      </c>
      <c r="F12" s="471">
        <f>C12*E12</f>
        <v>63720</v>
      </c>
      <c r="G12" s="472">
        <v>3</v>
      </c>
      <c r="H12" s="472"/>
      <c r="I12" s="472">
        <f t="shared" ref="I12:I14" si="0">G12+H12</f>
        <v>3</v>
      </c>
      <c r="J12" s="473">
        <f t="shared" ref="J12:J14" si="1">I12/C12</f>
        <v>1</v>
      </c>
      <c r="K12" s="474">
        <f t="shared" ref="K12:K14" si="2">G12*E12</f>
        <v>63720</v>
      </c>
      <c r="L12" s="474">
        <f t="shared" ref="L12:L14" si="3">H12*E12</f>
        <v>0</v>
      </c>
      <c r="M12" s="474">
        <f t="shared" ref="M12:M15" si="4">K12+L12</f>
        <v>63720</v>
      </c>
      <c r="N12" s="466"/>
    </row>
    <row r="13" spans="1:14">
      <c r="A13" s="467">
        <v>1.02</v>
      </c>
      <c r="B13" s="468" t="s">
        <v>347</v>
      </c>
      <c r="C13" s="469">
        <v>24</v>
      </c>
      <c r="D13" s="470" t="s">
        <v>348</v>
      </c>
      <c r="E13" s="471">
        <v>50000</v>
      </c>
      <c r="F13" s="471">
        <f t="shared" ref="F13:F14" si="5">C13*E13</f>
        <v>1200000</v>
      </c>
      <c r="G13" s="472">
        <v>17</v>
      </c>
      <c r="H13" s="472">
        <v>3</v>
      </c>
      <c r="I13" s="472">
        <f t="shared" si="0"/>
        <v>20</v>
      </c>
      <c r="J13" s="473">
        <f t="shared" si="1"/>
        <v>0.83333333333333337</v>
      </c>
      <c r="K13" s="474">
        <f t="shared" si="2"/>
        <v>850000</v>
      </c>
      <c r="L13" s="474">
        <f t="shared" si="3"/>
        <v>150000</v>
      </c>
      <c r="M13" s="474">
        <f t="shared" si="4"/>
        <v>1000000</v>
      </c>
      <c r="N13" s="466"/>
    </row>
    <row r="14" spans="1:14" s="446" customFormat="1" ht="12.75">
      <c r="A14" s="467">
        <v>1.03</v>
      </c>
      <c r="B14" s="468" t="s">
        <v>349</v>
      </c>
      <c r="C14" s="469">
        <v>24</v>
      </c>
      <c r="D14" s="470" t="s">
        <v>348</v>
      </c>
      <c r="E14" s="471">
        <v>28103.850833333301</v>
      </c>
      <c r="F14" s="471">
        <f t="shared" si="5"/>
        <v>674492.41999999923</v>
      </c>
      <c r="G14" s="472">
        <v>17</v>
      </c>
      <c r="H14" s="472">
        <v>2</v>
      </c>
      <c r="I14" s="472">
        <f t="shared" si="0"/>
        <v>19</v>
      </c>
      <c r="J14" s="473">
        <f t="shared" si="1"/>
        <v>0.79166666666666663</v>
      </c>
      <c r="K14" s="474">
        <f t="shared" si="2"/>
        <v>477765.46416666615</v>
      </c>
      <c r="L14" s="474">
        <f t="shared" si="3"/>
        <v>56207.701666666602</v>
      </c>
      <c r="M14" s="474">
        <f t="shared" si="4"/>
        <v>533973.16583333281</v>
      </c>
      <c r="N14" s="475"/>
    </row>
    <row r="15" spans="1:14">
      <c r="A15" s="476"/>
      <c r="B15" s="477" t="s">
        <v>44</v>
      </c>
      <c r="C15" s="478"/>
      <c r="D15" s="479"/>
      <c r="E15" s="480"/>
      <c r="F15" s="481">
        <f>SUM(F12:F14)</f>
        <v>1938212.4199999992</v>
      </c>
      <c r="G15" s="482"/>
      <c r="H15" s="482"/>
      <c r="I15" s="483"/>
      <c r="J15" s="482"/>
      <c r="K15" s="484">
        <f>SUM(K4:K14)</f>
        <v>1391485.4641666661</v>
      </c>
      <c r="L15" s="484">
        <f>SUM(L4:L14)</f>
        <v>206207.7016666666</v>
      </c>
      <c r="M15" s="484">
        <f t="shared" si="4"/>
        <v>1597693.1658333328</v>
      </c>
      <c r="N15" s="466"/>
    </row>
    <row r="16" spans="1:14">
      <c r="A16" s="457" t="s">
        <v>185</v>
      </c>
      <c r="B16" s="458" t="s">
        <v>350</v>
      </c>
      <c r="C16" s="457"/>
      <c r="D16" s="459"/>
      <c r="E16" s="457"/>
      <c r="F16" s="457"/>
      <c r="G16" s="460"/>
      <c r="H16" s="461"/>
      <c r="I16" s="462"/>
      <c r="J16" s="463"/>
      <c r="K16" s="464"/>
      <c r="L16" s="465"/>
      <c r="M16" s="465"/>
      <c r="N16" s="466"/>
    </row>
    <row r="17" spans="1:14">
      <c r="A17" s="457">
        <v>1</v>
      </c>
      <c r="B17" s="485" t="s">
        <v>351</v>
      </c>
      <c r="C17" s="486"/>
      <c r="D17" s="478"/>
      <c r="E17" s="480"/>
      <c r="F17" s="480"/>
      <c r="G17" s="460"/>
      <c r="H17" s="461"/>
      <c r="I17" s="462"/>
      <c r="J17" s="487"/>
      <c r="K17" s="464"/>
      <c r="L17" s="464"/>
      <c r="M17" s="464"/>
      <c r="N17" s="466"/>
    </row>
    <row r="18" spans="1:14">
      <c r="A18" s="467">
        <v>1.01</v>
      </c>
      <c r="B18" s="68" t="s">
        <v>352</v>
      </c>
      <c r="C18" s="469">
        <v>400</v>
      </c>
      <c r="D18" s="479" t="s">
        <v>353</v>
      </c>
      <c r="E18" s="488">
        <v>1100</v>
      </c>
      <c r="F18" s="488">
        <v>440000</v>
      </c>
      <c r="G18" s="472">
        <v>400</v>
      </c>
      <c r="H18" s="472"/>
      <c r="I18" s="472">
        <f>G18+H18</f>
        <v>400</v>
      </c>
      <c r="J18" s="473">
        <f>I18/C18</f>
        <v>1</v>
      </c>
      <c r="K18" s="474">
        <f>G18*E18</f>
        <v>440000</v>
      </c>
      <c r="L18" s="474">
        <f>H18*E18</f>
        <v>0</v>
      </c>
      <c r="M18" s="474">
        <f>K18+L18</f>
        <v>440000</v>
      </c>
      <c r="N18" s="466"/>
    </row>
    <row r="19" spans="1:14">
      <c r="A19" s="467">
        <v>1.02</v>
      </c>
      <c r="B19" s="68" t="s">
        <v>354</v>
      </c>
      <c r="C19" s="469">
        <v>400</v>
      </c>
      <c r="D19" s="479" t="s">
        <v>353</v>
      </c>
      <c r="E19" s="488">
        <v>160</v>
      </c>
      <c r="F19" s="488">
        <v>64000</v>
      </c>
      <c r="G19" s="472">
        <v>400</v>
      </c>
      <c r="H19" s="472"/>
      <c r="I19" s="472">
        <f t="shared" ref="I19:I28" si="6">G19+H19</f>
        <v>400</v>
      </c>
      <c r="J19" s="473">
        <f t="shared" ref="J19:J28" si="7">I19/C19</f>
        <v>1</v>
      </c>
      <c r="K19" s="474">
        <f t="shared" ref="K19:K28" si="8">G19*E19</f>
        <v>64000</v>
      </c>
      <c r="L19" s="474">
        <f t="shared" ref="L19:L28" si="9">H19*E19</f>
        <v>0</v>
      </c>
      <c r="M19" s="474">
        <f t="shared" ref="M19:M29" si="10">K19+L19</f>
        <v>64000</v>
      </c>
      <c r="N19" s="466"/>
    </row>
    <row r="20" spans="1:14" ht="24.75">
      <c r="A20" s="467">
        <v>1.03</v>
      </c>
      <c r="B20" s="68" t="s">
        <v>355</v>
      </c>
      <c r="C20" s="469">
        <v>350</v>
      </c>
      <c r="D20" s="479" t="s">
        <v>353</v>
      </c>
      <c r="E20" s="488">
        <v>173.25</v>
      </c>
      <c r="F20" s="488">
        <v>60637.5</v>
      </c>
      <c r="G20" s="472">
        <v>350</v>
      </c>
      <c r="H20" s="472"/>
      <c r="I20" s="472">
        <f t="shared" si="6"/>
        <v>350</v>
      </c>
      <c r="J20" s="473">
        <f t="shared" si="7"/>
        <v>1</v>
      </c>
      <c r="K20" s="474">
        <f t="shared" si="8"/>
        <v>60637.5</v>
      </c>
      <c r="L20" s="474">
        <f t="shared" si="9"/>
        <v>0</v>
      </c>
      <c r="M20" s="474">
        <f t="shared" si="10"/>
        <v>60637.5</v>
      </c>
      <c r="N20" s="466"/>
    </row>
    <row r="21" spans="1:14">
      <c r="A21" s="467">
        <v>1.04</v>
      </c>
      <c r="B21" s="68" t="s">
        <v>356</v>
      </c>
      <c r="C21" s="469">
        <v>5</v>
      </c>
      <c r="D21" s="479" t="s">
        <v>50</v>
      </c>
      <c r="E21" s="488">
        <v>2970</v>
      </c>
      <c r="F21" s="488">
        <v>14850</v>
      </c>
      <c r="G21" s="472">
        <v>5</v>
      </c>
      <c r="H21" s="472"/>
      <c r="I21" s="472">
        <f t="shared" si="6"/>
        <v>5</v>
      </c>
      <c r="J21" s="473">
        <f t="shared" si="7"/>
        <v>1</v>
      </c>
      <c r="K21" s="474">
        <f t="shared" si="8"/>
        <v>14850</v>
      </c>
      <c r="L21" s="474">
        <f t="shared" si="9"/>
        <v>0</v>
      </c>
      <c r="M21" s="474">
        <f t="shared" si="10"/>
        <v>14850</v>
      </c>
      <c r="N21" s="466"/>
    </row>
    <row r="22" spans="1:14">
      <c r="A22" s="467">
        <v>1.05</v>
      </c>
      <c r="B22" s="68" t="s">
        <v>357</v>
      </c>
      <c r="C22" s="469">
        <v>400</v>
      </c>
      <c r="D22" s="479" t="s">
        <v>353</v>
      </c>
      <c r="E22" s="488">
        <v>1782</v>
      </c>
      <c r="F22" s="488">
        <v>712800</v>
      </c>
      <c r="G22" s="472">
        <v>400</v>
      </c>
      <c r="H22" s="472"/>
      <c r="I22" s="472">
        <f t="shared" si="6"/>
        <v>400</v>
      </c>
      <c r="J22" s="473">
        <f t="shared" si="7"/>
        <v>1</v>
      </c>
      <c r="K22" s="474">
        <f t="shared" si="8"/>
        <v>712800</v>
      </c>
      <c r="L22" s="474">
        <f t="shared" si="9"/>
        <v>0</v>
      </c>
      <c r="M22" s="474">
        <f t="shared" si="10"/>
        <v>712800</v>
      </c>
      <c r="N22" s="466"/>
    </row>
    <row r="23" spans="1:14">
      <c r="A23" s="467">
        <v>1.06</v>
      </c>
      <c r="B23" s="68" t="s">
        <v>358</v>
      </c>
      <c r="C23" s="469">
        <v>5</v>
      </c>
      <c r="D23" s="479" t="s">
        <v>50</v>
      </c>
      <c r="E23" s="488">
        <v>103950</v>
      </c>
      <c r="F23" s="488">
        <v>519750</v>
      </c>
      <c r="G23" s="472">
        <v>5</v>
      </c>
      <c r="H23" s="472"/>
      <c r="I23" s="472">
        <f t="shared" si="6"/>
        <v>5</v>
      </c>
      <c r="J23" s="473">
        <f t="shared" si="7"/>
        <v>1</v>
      </c>
      <c r="K23" s="474">
        <f t="shared" si="8"/>
        <v>519750</v>
      </c>
      <c r="L23" s="474">
        <f t="shared" si="9"/>
        <v>0</v>
      </c>
      <c r="M23" s="474">
        <f t="shared" si="10"/>
        <v>519750</v>
      </c>
      <c r="N23" s="466"/>
    </row>
    <row r="24" spans="1:14" ht="24.75">
      <c r="A24" s="467">
        <v>1.07</v>
      </c>
      <c r="B24" s="68" t="s">
        <v>359</v>
      </c>
      <c r="C24" s="469">
        <v>3</v>
      </c>
      <c r="D24" s="479" t="s">
        <v>50</v>
      </c>
      <c r="E24" s="488">
        <v>14850</v>
      </c>
      <c r="F24" s="488">
        <v>44550</v>
      </c>
      <c r="G24" s="472">
        <v>3</v>
      </c>
      <c r="H24" s="472"/>
      <c r="I24" s="472">
        <f t="shared" si="6"/>
        <v>3</v>
      </c>
      <c r="J24" s="473">
        <f t="shared" si="7"/>
        <v>1</v>
      </c>
      <c r="K24" s="474">
        <f t="shared" si="8"/>
        <v>44550</v>
      </c>
      <c r="L24" s="474">
        <f t="shared" si="9"/>
        <v>0</v>
      </c>
      <c r="M24" s="474">
        <f t="shared" si="10"/>
        <v>44550</v>
      </c>
      <c r="N24" s="466"/>
    </row>
    <row r="25" spans="1:14" ht="36.75">
      <c r="A25" s="489">
        <v>1.08</v>
      </c>
      <c r="B25" s="68" t="s">
        <v>360</v>
      </c>
      <c r="C25" s="490">
        <v>5</v>
      </c>
      <c r="D25" s="479" t="s">
        <v>88</v>
      </c>
      <c r="E25" s="491">
        <v>19800</v>
      </c>
      <c r="F25" s="491">
        <v>99000</v>
      </c>
      <c r="G25" s="472">
        <v>5</v>
      </c>
      <c r="H25" s="472"/>
      <c r="I25" s="472">
        <f t="shared" si="6"/>
        <v>5</v>
      </c>
      <c r="J25" s="473">
        <f t="shared" si="7"/>
        <v>1</v>
      </c>
      <c r="K25" s="474">
        <f t="shared" si="8"/>
        <v>99000</v>
      </c>
      <c r="L25" s="474">
        <f t="shared" si="9"/>
        <v>0</v>
      </c>
      <c r="M25" s="474">
        <f t="shared" si="10"/>
        <v>99000</v>
      </c>
      <c r="N25" s="466"/>
    </row>
    <row r="26" spans="1:14" s="493" customFormat="1" ht="12.75">
      <c r="A26" s="467">
        <v>1.0900000000000001</v>
      </c>
      <c r="B26" s="68" t="s">
        <v>361</v>
      </c>
      <c r="C26" s="469">
        <v>5</v>
      </c>
      <c r="D26" s="479" t="s">
        <v>50</v>
      </c>
      <c r="E26" s="488">
        <v>1980</v>
      </c>
      <c r="F26" s="488">
        <v>9900</v>
      </c>
      <c r="G26" s="472">
        <v>5</v>
      </c>
      <c r="H26" s="472"/>
      <c r="I26" s="472">
        <f t="shared" si="6"/>
        <v>5</v>
      </c>
      <c r="J26" s="473">
        <f t="shared" si="7"/>
        <v>1</v>
      </c>
      <c r="K26" s="474">
        <f t="shared" si="8"/>
        <v>9900</v>
      </c>
      <c r="L26" s="474">
        <f t="shared" si="9"/>
        <v>0</v>
      </c>
      <c r="M26" s="474">
        <f t="shared" si="10"/>
        <v>9900</v>
      </c>
      <c r="N26" s="492"/>
    </row>
    <row r="27" spans="1:14">
      <c r="A27" s="494">
        <v>1.1000000000000001</v>
      </c>
      <c r="B27" s="68" t="s">
        <v>362</v>
      </c>
      <c r="C27" s="469">
        <v>250</v>
      </c>
      <c r="D27" s="479" t="s">
        <v>353</v>
      </c>
      <c r="E27" s="488">
        <v>1100</v>
      </c>
      <c r="F27" s="488">
        <v>275000</v>
      </c>
      <c r="G27" s="472">
        <v>250</v>
      </c>
      <c r="H27" s="472"/>
      <c r="I27" s="472">
        <f t="shared" si="6"/>
        <v>250</v>
      </c>
      <c r="J27" s="473">
        <f t="shared" si="7"/>
        <v>1</v>
      </c>
      <c r="K27" s="474">
        <f t="shared" si="8"/>
        <v>275000</v>
      </c>
      <c r="L27" s="474">
        <f t="shared" si="9"/>
        <v>0</v>
      </c>
      <c r="M27" s="474">
        <f t="shared" si="10"/>
        <v>275000</v>
      </c>
      <c r="N27" s="466"/>
    </row>
    <row r="28" spans="1:14" s="446" customFormat="1" ht="12.75">
      <c r="A28" s="489">
        <v>1.1100000000000001</v>
      </c>
      <c r="B28" s="68" t="s">
        <v>363</v>
      </c>
      <c r="C28" s="469">
        <v>100</v>
      </c>
      <c r="D28" s="479" t="s">
        <v>353</v>
      </c>
      <c r="E28" s="488">
        <v>1134.72</v>
      </c>
      <c r="F28" s="488">
        <v>113472</v>
      </c>
      <c r="G28" s="472">
        <v>100</v>
      </c>
      <c r="H28" s="472"/>
      <c r="I28" s="472">
        <f t="shared" si="6"/>
        <v>100</v>
      </c>
      <c r="J28" s="473">
        <f t="shared" si="7"/>
        <v>1</v>
      </c>
      <c r="K28" s="474">
        <f t="shared" si="8"/>
        <v>113472</v>
      </c>
      <c r="L28" s="474">
        <f t="shared" si="9"/>
        <v>0</v>
      </c>
      <c r="M28" s="474">
        <f t="shared" si="10"/>
        <v>113472</v>
      </c>
      <c r="N28" s="475"/>
    </row>
    <row r="29" spans="1:14">
      <c r="A29" s="476"/>
      <c r="B29" s="477" t="s">
        <v>44</v>
      </c>
      <c r="C29" s="478"/>
      <c r="D29" s="479"/>
      <c r="E29" s="480"/>
      <c r="F29" s="481">
        <f>SUM(F18:F28)</f>
        <v>2353959.5</v>
      </c>
      <c r="G29" s="482"/>
      <c r="H29" s="482"/>
      <c r="I29" s="483"/>
      <c r="J29" s="482"/>
      <c r="K29" s="484">
        <f>SUM(K18:K28)</f>
        <v>2353959.5</v>
      </c>
      <c r="L29" s="484">
        <f>SUM(L18:L28)</f>
        <v>0</v>
      </c>
      <c r="M29" s="484">
        <f t="shared" si="10"/>
        <v>2353959.5</v>
      </c>
      <c r="N29" s="466"/>
    </row>
    <row r="30" spans="1:14" ht="24.75">
      <c r="A30" s="495" t="s">
        <v>185</v>
      </c>
      <c r="B30" s="485" t="s">
        <v>364</v>
      </c>
      <c r="C30" s="496"/>
      <c r="D30" s="497"/>
      <c r="E30" s="498"/>
      <c r="F30" s="498"/>
      <c r="G30" s="460"/>
      <c r="H30" s="463"/>
      <c r="I30" s="499"/>
      <c r="J30" s="463"/>
      <c r="K30" s="464"/>
      <c r="L30" s="464"/>
      <c r="M30" s="500"/>
      <c r="N30" s="466"/>
    </row>
    <row r="31" spans="1:14" s="493" customFormat="1" ht="12.75">
      <c r="A31" s="495">
        <v>1</v>
      </c>
      <c r="B31" s="501" t="s">
        <v>365</v>
      </c>
      <c r="C31" s="496"/>
      <c r="D31" s="497"/>
      <c r="E31" s="498"/>
      <c r="F31" s="498"/>
      <c r="G31" s="502"/>
      <c r="H31" s="482"/>
      <c r="I31" s="483"/>
      <c r="J31" s="482"/>
      <c r="K31" s="503"/>
      <c r="L31" s="503"/>
      <c r="M31" s="503"/>
      <c r="N31" s="492"/>
    </row>
    <row r="32" spans="1:14">
      <c r="A32" s="467">
        <v>1.01</v>
      </c>
      <c r="B32" s="68" t="s">
        <v>366</v>
      </c>
      <c r="C32" s="469">
        <v>1630</v>
      </c>
      <c r="D32" s="479" t="s">
        <v>264</v>
      </c>
      <c r="E32" s="488">
        <v>60</v>
      </c>
      <c r="F32" s="488">
        <v>97800</v>
      </c>
      <c r="G32" s="504">
        <v>1630</v>
      </c>
      <c r="H32" s="472"/>
      <c r="I32" s="472">
        <f>G32+H32</f>
        <v>1630</v>
      </c>
      <c r="J32" s="473">
        <f>I32/C32</f>
        <v>1</v>
      </c>
      <c r="K32" s="474">
        <f>G32*E32</f>
        <v>97800</v>
      </c>
      <c r="L32" s="474">
        <f>H32*E32</f>
        <v>0</v>
      </c>
      <c r="M32" s="474">
        <f>K32+L32</f>
        <v>97800</v>
      </c>
      <c r="N32" s="466"/>
    </row>
    <row r="33" spans="1:14" s="493" customFormat="1" ht="12.75">
      <c r="A33" s="476">
        <v>2</v>
      </c>
      <c r="B33" s="485" t="s">
        <v>250</v>
      </c>
      <c r="C33" s="496"/>
      <c r="D33" s="497"/>
      <c r="E33" s="498"/>
      <c r="F33" s="498"/>
      <c r="G33" s="502"/>
      <c r="H33" s="472"/>
      <c r="I33" s="472"/>
      <c r="J33" s="473"/>
      <c r="K33" s="474"/>
      <c r="L33" s="474"/>
      <c r="M33" s="474"/>
      <c r="N33" s="492"/>
    </row>
    <row r="34" spans="1:14">
      <c r="A34" s="467"/>
      <c r="B34" s="68" t="s">
        <v>367</v>
      </c>
      <c r="C34" s="469"/>
      <c r="D34" s="479"/>
      <c r="E34" s="480"/>
      <c r="F34" s="480"/>
      <c r="G34" s="460"/>
      <c r="H34" s="472"/>
      <c r="I34" s="472"/>
      <c r="J34" s="473"/>
      <c r="K34" s="474"/>
      <c r="L34" s="474"/>
      <c r="M34" s="474"/>
      <c r="N34" s="466"/>
    </row>
    <row r="35" spans="1:14">
      <c r="A35" s="467">
        <v>2.0099999999999998</v>
      </c>
      <c r="B35" s="68" t="s">
        <v>368</v>
      </c>
      <c r="C35" s="469">
        <v>1695.2</v>
      </c>
      <c r="D35" s="479" t="s">
        <v>38</v>
      </c>
      <c r="E35" s="505">
        <v>198</v>
      </c>
      <c r="F35" s="488">
        <v>335649.6</v>
      </c>
      <c r="G35" s="460">
        <v>1695.2</v>
      </c>
      <c r="H35" s="472"/>
      <c r="I35" s="472">
        <f t="shared" ref="I35:I46" si="11">G35+H35</f>
        <v>1695.2</v>
      </c>
      <c r="J35" s="473">
        <f t="shared" ref="J35:J46" si="12">I35/C35</f>
        <v>1</v>
      </c>
      <c r="K35" s="474">
        <f t="shared" ref="K35:K46" si="13">G35*E35</f>
        <v>335649.60000000003</v>
      </c>
      <c r="L35" s="474">
        <f t="shared" ref="L35:L46" si="14">H35*E35</f>
        <v>0</v>
      </c>
      <c r="M35" s="474">
        <f t="shared" ref="M35:M46" si="15">K35+L35</f>
        <v>335649.60000000003</v>
      </c>
      <c r="N35" s="466"/>
    </row>
    <row r="36" spans="1:14">
      <c r="A36" s="467">
        <v>2.02</v>
      </c>
      <c r="B36" s="68" t="s">
        <v>369</v>
      </c>
      <c r="C36" s="469">
        <v>130.4</v>
      </c>
      <c r="D36" s="479" t="s">
        <v>38</v>
      </c>
      <c r="E36" s="505">
        <v>940.5</v>
      </c>
      <c r="F36" s="488">
        <v>122641.2</v>
      </c>
      <c r="G36" s="460">
        <v>130.4</v>
      </c>
      <c r="H36" s="472"/>
      <c r="I36" s="472">
        <f t="shared" si="11"/>
        <v>130.4</v>
      </c>
      <c r="J36" s="473">
        <f t="shared" si="12"/>
        <v>1</v>
      </c>
      <c r="K36" s="474">
        <f t="shared" si="13"/>
        <v>122641.20000000001</v>
      </c>
      <c r="L36" s="474">
        <f t="shared" si="14"/>
        <v>0</v>
      </c>
      <c r="M36" s="474">
        <f t="shared" si="15"/>
        <v>122641.20000000001</v>
      </c>
      <c r="N36" s="466"/>
    </row>
    <row r="37" spans="1:14">
      <c r="A37" s="467">
        <v>2.0299999999999998</v>
      </c>
      <c r="B37" s="68" t="s">
        <v>370</v>
      </c>
      <c r="C37" s="469">
        <v>1017.12</v>
      </c>
      <c r="D37" s="479" t="s">
        <v>38</v>
      </c>
      <c r="E37" s="505">
        <v>539.54999999999995</v>
      </c>
      <c r="F37" s="488">
        <v>548787.1</v>
      </c>
      <c r="G37" s="460">
        <v>1017.12</v>
      </c>
      <c r="H37" s="472"/>
      <c r="I37" s="472">
        <f t="shared" si="11"/>
        <v>1017.12</v>
      </c>
      <c r="J37" s="473">
        <f t="shared" si="12"/>
        <v>1</v>
      </c>
      <c r="K37" s="474">
        <f t="shared" si="13"/>
        <v>548787.0959999999</v>
      </c>
      <c r="L37" s="474">
        <f t="shared" si="14"/>
        <v>0</v>
      </c>
      <c r="M37" s="474">
        <f t="shared" si="15"/>
        <v>548787.0959999999</v>
      </c>
      <c r="N37" s="466"/>
    </row>
    <row r="38" spans="1:14">
      <c r="A38" s="467">
        <v>2.04</v>
      </c>
      <c r="B38" s="68" t="s">
        <v>253</v>
      </c>
      <c r="C38" s="469">
        <v>847.6</v>
      </c>
      <c r="D38" s="479" t="s">
        <v>38</v>
      </c>
      <c r="E38" s="505">
        <v>247.5</v>
      </c>
      <c r="F38" s="488">
        <v>209781</v>
      </c>
      <c r="G38" s="463">
        <v>847.6</v>
      </c>
      <c r="H38" s="472"/>
      <c r="I38" s="472">
        <f t="shared" si="11"/>
        <v>847.6</v>
      </c>
      <c r="J38" s="473">
        <f t="shared" si="12"/>
        <v>1</v>
      </c>
      <c r="K38" s="474">
        <f t="shared" si="13"/>
        <v>209781</v>
      </c>
      <c r="L38" s="474">
        <f t="shared" si="14"/>
        <v>0</v>
      </c>
      <c r="M38" s="474">
        <f t="shared" si="15"/>
        <v>209781</v>
      </c>
      <c r="N38" s="466"/>
    </row>
    <row r="39" spans="1:14" ht="24.75">
      <c r="A39" s="467">
        <v>2.0499999999999998</v>
      </c>
      <c r="B39" s="68" t="s">
        <v>371</v>
      </c>
      <c r="C39" s="469">
        <v>508.56</v>
      </c>
      <c r="D39" s="479" t="s">
        <v>38</v>
      </c>
      <c r="E39" s="505">
        <v>762.3</v>
      </c>
      <c r="F39" s="488">
        <v>387675.29</v>
      </c>
      <c r="G39" s="463">
        <v>508.56</v>
      </c>
      <c r="H39" s="472"/>
      <c r="I39" s="472">
        <f t="shared" si="11"/>
        <v>508.56</v>
      </c>
      <c r="J39" s="473">
        <f t="shared" si="12"/>
        <v>1</v>
      </c>
      <c r="K39" s="474">
        <f t="shared" si="13"/>
        <v>387675.288</v>
      </c>
      <c r="L39" s="474">
        <f t="shared" si="14"/>
        <v>0</v>
      </c>
      <c r="M39" s="474">
        <f t="shared" si="15"/>
        <v>387675.288</v>
      </c>
      <c r="N39" s="466"/>
    </row>
    <row r="40" spans="1:14" s="493" customFormat="1" ht="12.75">
      <c r="A40" s="476">
        <v>3</v>
      </c>
      <c r="B40" s="506" t="s">
        <v>372</v>
      </c>
      <c r="C40" s="507"/>
      <c r="D40" s="497"/>
      <c r="E40" s="498"/>
      <c r="F40" s="498"/>
      <c r="G40" s="502"/>
      <c r="H40" s="472"/>
      <c r="I40" s="472"/>
      <c r="J40" s="473"/>
      <c r="K40" s="474"/>
      <c r="L40" s="474"/>
      <c r="M40" s="474"/>
      <c r="N40" s="492"/>
    </row>
    <row r="41" spans="1:14" ht="24">
      <c r="A41" s="467">
        <v>3.01</v>
      </c>
      <c r="B41" s="508" t="s">
        <v>373</v>
      </c>
      <c r="C41" s="469">
        <v>1711.5</v>
      </c>
      <c r="D41" s="479" t="s">
        <v>30</v>
      </c>
      <c r="E41" s="505">
        <v>8508.58</v>
      </c>
      <c r="F41" s="488">
        <v>14562430.178309962</v>
      </c>
      <c r="G41" s="504">
        <v>1711.5</v>
      </c>
      <c r="H41" s="472"/>
      <c r="I41" s="472">
        <f t="shared" si="11"/>
        <v>1711.5</v>
      </c>
      <c r="J41" s="473">
        <f t="shared" si="12"/>
        <v>1</v>
      </c>
      <c r="K41" s="474">
        <f t="shared" si="13"/>
        <v>14562434.67</v>
      </c>
      <c r="L41" s="474">
        <f t="shared" si="14"/>
        <v>0</v>
      </c>
      <c r="M41" s="474">
        <f t="shared" si="15"/>
        <v>14562434.67</v>
      </c>
      <c r="N41" s="466"/>
    </row>
    <row r="42" spans="1:14" s="493" customFormat="1" ht="12.75">
      <c r="A42" s="476">
        <v>4</v>
      </c>
      <c r="B42" s="506" t="s">
        <v>374</v>
      </c>
      <c r="C42" s="496"/>
      <c r="D42" s="497"/>
      <c r="E42" s="498"/>
      <c r="F42" s="498"/>
      <c r="G42" s="502"/>
      <c r="H42" s="482"/>
      <c r="I42" s="483"/>
      <c r="J42" s="482"/>
      <c r="K42" s="503"/>
      <c r="L42" s="503"/>
      <c r="M42" s="503"/>
      <c r="N42" s="492"/>
    </row>
    <row r="43" spans="1:14" ht="24">
      <c r="A43" s="467">
        <v>4.01</v>
      </c>
      <c r="B43" s="508" t="s">
        <v>375</v>
      </c>
      <c r="C43" s="469">
        <f>C32</f>
        <v>1630</v>
      </c>
      <c r="D43" s="479" t="s">
        <v>30</v>
      </c>
      <c r="E43" s="505">
        <v>107</v>
      </c>
      <c r="F43" s="488">
        <f>C43*E43</f>
        <v>174410</v>
      </c>
      <c r="G43" s="460">
        <v>1630</v>
      </c>
      <c r="H43" s="472"/>
      <c r="I43" s="472">
        <f t="shared" ref="I43" si="16">G43+H43</f>
        <v>1630</v>
      </c>
      <c r="J43" s="473">
        <f t="shared" ref="J43" si="17">I43/C43</f>
        <v>1</v>
      </c>
      <c r="K43" s="474">
        <f t="shared" ref="K43" si="18">G43*E43</f>
        <v>174410</v>
      </c>
      <c r="L43" s="474">
        <f t="shared" ref="L43" si="19">H43*E43</f>
        <v>0</v>
      </c>
      <c r="M43" s="474">
        <f t="shared" ref="M43" si="20">K43+L43</f>
        <v>174410</v>
      </c>
      <c r="N43" s="466"/>
    </row>
    <row r="44" spans="1:14" s="493" customFormat="1" ht="12.75">
      <c r="A44" s="476">
        <v>4</v>
      </c>
      <c r="B44" s="506" t="s">
        <v>376</v>
      </c>
      <c r="C44" s="496"/>
      <c r="D44" s="497"/>
      <c r="E44" s="498"/>
      <c r="F44" s="498"/>
      <c r="G44" s="482"/>
      <c r="H44" s="472"/>
      <c r="I44" s="472"/>
      <c r="J44" s="473"/>
      <c r="K44" s="474"/>
      <c r="L44" s="474"/>
      <c r="M44" s="474"/>
      <c r="N44" s="492"/>
    </row>
    <row r="45" spans="1:14">
      <c r="A45" s="467">
        <v>4.01</v>
      </c>
      <c r="B45" s="508" t="s">
        <v>377</v>
      </c>
      <c r="C45" s="469">
        <v>15</v>
      </c>
      <c r="D45" s="479" t="s">
        <v>50</v>
      </c>
      <c r="E45" s="505">
        <v>3819.7368000000001</v>
      </c>
      <c r="F45" s="505">
        <v>57296.05</v>
      </c>
      <c r="G45" s="460">
        <v>15</v>
      </c>
      <c r="H45" s="472"/>
      <c r="I45" s="472">
        <f t="shared" si="11"/>
        <v>15</v>
      </c>
      <c r="J45" s="473">
        <f t="shared" si="12"/>
        <v>1</v>
      </c>
      <c r="K45" s="474">
        <f t="shared" si="13"/>
        <v>57296.052000000003</v>
      </c>
      <c r="L45" s="474">
        <f t="shared" si="14"/>
        <v>0</v>
      </c>
      <c r="M45" s="474">
        <f t="shared" si="15"/>
        <v>57296.052000000003</v>
      </c>
      <c r="N45" s="466"/>
    </row>
    <row r="46" spans="1:14">
      <c r="A46" s="467">
        <v>4.0199999999999996</v>
      </c>
      <c r="B46" s="508" t="s">
        <v>378</v>
      </c>
      <c r="C46" s="469">
        <v>20</v>
      </c>
      <c r="D46" s="479" t="s">
        <v>50</v>
      </c>
      <c r="E46" s="505">
        <v>1420.9679999999998</v>
      </c>
      <c r="F46" s="505">
        <v>28419.360000000001</v>
      </c>
      <c r="G46" s="460">
        <v>20</v>
      </c>
      <c r="H46" s="472"/>
      <c r="I46" s="472">
        <f t="shared" si="11"/>
        <v>20</v>
      </c>
      <c r="J46" s="473">
        <f t="shared" si="12"/>
        <v>1</v>
      </c>
      <c r="K46" s="474">
        <f t="shared" si="13"/>
        <v>28419.359999999997</v>
      </c>
      <c r="L46" s="474">
        <f t="shared" si="14"/>
        <v>0</v>
      </c>
      <c r="M46" s="474">
        <f t="shared" si="15"/>
        <v>28419.359999999997</v>
      </c>
      <c r="N46" s="466"/>
    </row>
    <row r="47" spans="1:14" s="493" customFormat="1" ht="12.75">
      <c r="A47" s="476"/>
      <c r="B47" s="477" t="s">
        <v>44</v>
      </c>
      <c r="C47" s="507"/>
      <c r="D47" s="497"/>
      <c r="E47" s="498"/>
      <c r="F47" s="481">
        <f>SUM(F32:F46)</f>
        <v>16524889.778309962</v>
      </c>
      <c r="G47" s="482"/>
      <c r="H47" s="482"/>
      <c r="I47" s="483"/>
      <c r="J47" s="482"/>
      <c r="K47" s="484">
        <f>SUM(K32:K46)</f>
        <v>16524894.265999999</v>
      </c>
      <c r="L47" s="484">
        <f>SUM(L32:L46)</f>
        <v>0</v>
      </c>
      <c r="M47" s="484">
        <f>SUM(M32:M46)</f>
        <v>16524894.265999999</v>
      </c>
      <c r="N47" s="492"/>
    </row>
    <row r="48" spans="1:14" s="493" customFormat="1" ht="24">
      <c r="A48" s="476" t="s">
        <v>195</v>
      </c>
      <c r="B48" s="506" t="s">
        <v>379</v>
      </c>
      <c r="C48" s="496"/>
      <c r="D48" s="497"/>
      <c r="E48" s="498"/>
      <c r="F48" s="498"/>
      <c r="G48" s="502"/>
      <c r="H48" s="482"/>
      <c r="I48" s="483"/>
      <c r="J48" s="482"/>
      <c r="K48" s="503"/>
      <c r="L48" s="503"/>
      <c r="M48" s="503"/>
      <c r="N48" s="492"/>
    </row>
    <row r="49" spans="1:14" s="493" customFormat="1" ht="12.75">
      <c r="A49" s="476">
        <v>1</v>
      </c>
      <c r="B49" s="506" t="s">
        <v>365</v>
      </c>
      <c r="C49" s="496"/>
      <c r="D49" s="497"/>
      <c r="E49" s="498"/>
      <c r="F49" s="498"/>
      <c r="G49" s="482"/>
      <c r="H49" s="482"/>
      <c r="I49" s="483"/>
      <c r="J49" s="482"/>
      <c r="K49" s="503"/>
      <c r="L49" s="503"/>
      <c r="M49" s="503"/>
      <c r="N49" s="492"/>
    </row>
    <row r="50" spans="1:14">
      <c r="A50" s="467">
        <v>1.01</v>
      </c>
      <c r="B50" s="508" t="s">
        <v>249</v>
      </c>
      <c r="C50" s="469">
        <v>1</v>
      </c>
      <c r="D50" s="479" t="s">
        <v>380</v>
      </c>
      <c r="E50" s="488">
        <v>15000</v>
      </c>
      <c r="F50" s="488">
        <v>15000</v>
      </c>
      <c r="G50" s="460">
        <v>0</v>
      </c>
      <c r="H50" s="472">
        <v>1</v>
      </c>
      <c r="I50" s="472">
        <f t="shared" ref="I50" si="21">G50+H50</f>
        <v>1</v>
      </c>
      <c r="J50" s="473">
        <f t="shared" ref="J50" si="22">I50/C50</f>
        <v>1</v>
      </c>
      <c r="K50" s="474">
        <f t="shared" ref="K50" si="23">G50*E50</f>
        <v>0</v>
      </c>
      <c r="L50" s="474">
        <f t="shared" ref="L50" si="24">H50*E50</f>
        <v>15000</v>
      </c>
      <c r="M50" s="474">
        <f t="shared" ref="M50" si="25">K50+L50</f>
        <v>15000</v>
      </c>
      <c r="N50" s="466"/>
    </row>
    <row r="51" spans="1:14" s="493" customFormat="1" ht="12.75">
      <c r="A51" s="476">
        <v>2</v>
      </c>
      <c r="B51" s="506" t="s">
        <v>381</v>
      </c>
      <c r="C51" s="496"/>
      <c r="D51" s="497"/>
      <c r="E51" s="498"/>
      <c r="F51" s="498"/>
      <c r="G51" s="502"/>
      <c r="H51" s="502"/>
      <c r="I51" s="483"/>
      <c r="J51" s="482"/>
      <c r="K51" s="503"/>
      <c r="L51" s="503"/>
      <c r="M51" s="503"/>
      <c r="N51" s="492"/>
    </row>
    <row r="52" spans="1:14" s="493" customFormat="1" ht="12.75">
      <c r="A52" s="467">
        <v>2.0099999999999998</v>
      </c>
      <c r="B52" s="508" t="s">
        <v>382</v>
      </c>
      <c r="C52" s="469">
        <v>350</v>
      </c>
      <c r="D52" s="479" t="s">
        <v>189</v>
      </c>
      <c r="E52" s="480">
        <v>277.2</v>
      </c>
      <c r="F52" s="488">
        <v>97020</v>
      </c>
      <c r="G52" s="460">
        <v>0</v>
      </c>
      <c r="H52" s="472">
        <v>350</v>
      </c>
      <c r="I52" s="472">
        <f t="shared" ref="I52" si="26">G52+H52</f>
        <v>350</v>
      </c>
      <c r="J52" s="473">
        <f t="shared" ref="J52" si="27">I52/C52</f>
        <v>1</v>
      </c>
      <c r="K52" s="474">
        <f t="shared" ref="K52" si="28">G52*E52</f>
        <v>0</v>
      </c>
      <c r="L52" s="474">
        <f t="shared" ref="L52" si="29">H52*E52</f>
        <v>97020</v>
      </c>
      <c r="M52" s="474">
        <f t="shared" ref="M52" si="30">K52+L52</f>
        <v>97020</v>
      </c>
      <c r="N52" s="492"/>
    </row>
    <row r="53" spans="1:14">
      <c r="A53" s="476">
        <v>3</v>
      </c>
      <c r="B53" s="506" t="s">
        <v>383</v>
      </c>
      <c r="C53" s="496"/>
      <c r="D53" s="497"/>
      <c r="E53" s="498"/>
      <c r="F53" s="498"/>
      <c r="G53" s="463"/>
      <c r="H53" s="463"/>
      <c r="I53" s="499"/>
      <c r="J53" s="463"/>
      <c r="K53" s="464"/>
      <c r="L53" s="464"/>
      <c r="M53" s="464"/>
      <c r="N53" s="466"/>
    </row>
    <row r="54" spans="1:14" ht="24">
      <c r="A54" s="467">
        <v>3.01</v>
      </c>
      <c r="B54" s="508" t="s">
        <v>384</v>
      </c>
      <c r="C54" s="469">
        <v>4</v>
      </c>
      <c r="D54" s="479" t="s">
        <v>50</v>
      </c>
      <c r="E54" s="505">
        <v>115066.24000000001</v>
      </c>
      <c r="F54" s="488">
        <v>460264.96000000002</v>
      </c>
      <c r="G54" s="460">
        <v>0</v>
      </c>
      <c r="H54" s="472">
        <v>4</v>
      </c>
      <c r="I54" s="472">
        <f t="shared" ref="I54:I59" si="31">G54+H54</f>
        <v>4</v>
      </c>
      <c r="J54" s="473">
        <f t="shared" ref="J54:J59" si="32">I54/C54</f>
        <v>1</v>
      </c>
      <c r="K54" s="474">
        <f t="shared" ref="K54:K59" si="33">G54*E54</f>
        <v>0</v>
      </c>
      <c r="L54" s="474">
        <f t="shared" ref="L54:L59" si="34">H54*E54</f>
        <v>460264.96000000002</v>
      </c>
      <c r="M54" s="474">
        <f t="shared" ref="M54:M59" si="35">K54+L54</f>
        <v>460264.96000000002</v>
      </c>
      <c r="N54" s="466"/>
    </row>
    <row r="55" spans="1:14" ht="24">
      <c r="A55" s="489">
        <v>3.02</v>
      </c>
      <c r="B55" s="509" t="s">
        <v>385</v>
      </c>
      <c r="C55" s="490">
        <v>1</v>
      </c>
      <c r="D55" s="479" t="s">
        <v>50</v>
      </c>
      <c r="E55" s="510">
        <v>77516.710000000006</v>
      </c>
      <c r="F55" s="491">
        <v>77516.710000000006</v>
      </c>
      <c r="G55" s="460">
        <v>0</v>
      </c>
      <c r="H55" s="472">
        <v>1</v>
      </c>
      <c r="I55" s="472">
        <f t="shared" si="31"/>
        <v>1</v>
      </c>
      <c r="J55" s="473">
        <f t="shared" si="32"/>
        <v>1</v>
      </c>
      <c r="K55" s="474">
        <f t="shared" si="33"/>
        <v>0</v>
      </c>
      <c r="L55" s="474">
        <f t="shared" si="34"/>
        <v>77516.710000000006</v>
      </c>
      <c r="M55" s="474">
        <f t="shared" si="35"/>
        <v>77516.710000000006</v>
      </c>
      <c r="N55" s="466"/>
    </row>
    <row r="56" spans="1:14">
      <c r="A56" s="467">
        <v>3.03</v>
      </c>
      <c r="B56" s="508" t="s">
        <v>386</v>
      </c>
      <c r="C56" s="469">
        <v>3</v>
      </c>
      <c r="D56" s="479" t="s">
        <v>50</v>
      </c>
      <c r="E56" s="505">
        <v>12090.784935124999</v>
      </c>
      <c r="F56" s="488">
        <v>36272.35</v>
      </c>
      <c r="G56" s="460">
        <v>0</v>
      </c>
      <c r="H56" s="472">
        <v>3</v>
      </c>
      <c r="I56" s="472">
        <f t="shared" si="31"/>
        <v>3</v>
      </c>
      <c r="J56" s="473">
        <f t="shared" si="32"/>
        <v>1</v>
      </c>
      <c r="K56" s="474">
        <f t="shared" si="33"/>
        <v>0</v>
      </c>
      <c r="L56" s="474">
        <f t="shared" si="34"/>
        <v>36272.354805374998</v>
      </c>
      <c r="M56" s="474">
        <f t="shared" si="35"/>
        <v>36272.354805374998</v>
      </c>
      <c r="N56" s="466"/>
    </row>
    <row r="57" spans="1:14">
      <c r="A57" s="467">
        <v>3.04</v>
      </c>
      <c r="B57" s="508" t="s">
        <v>387</v>
      </c>
      <c r="C57" s="469">
        <v>3</v>
      </c>
      <c r="D57" s="479" t="s">
        <v>50</v>
      </c>
      <c r="E57" s="505">
        <v>15493.904935125</v>
      </c>
      <c r="F57" s="488">
        <v>46481.71</v>
      </c>
      <c r="G57" s="460">
        <v>0</v>
      </c>
      <c r="H57" s="472">
        <v>3</v>
      </c>
      <c r="I57" s="472">
        <f t="shared" si="31"/>
        <v>3</v>
      </c>
      <c r="J57" s="473">
        <f t="shared" si="32"/>
        <v>1</v>
      </c>
      <c r="K57" s="474">
        <f t="shared" si="33"/>
        <v>0</v>
      </c>
      <c r="L57" s="474">
        <f t="shared" si="34"/>
        <v>46481.714805374999</v>
      </c>
      <c r="M57" s="474">
        <f t="shared" si="35"/>
        <v>46481.714805374999</v>
      </c>
      <c r="N57" s="466"/>
    </row>
    <row r="58" spans="1:14">
      <c r="A58" s="467">
        <v>3.05</v>
      </c>
      <c r="B58" s="508" t="s">
        <v>388</v>
      </c>
      <c r="C58" s="469">
        <v>2</v>
      </c>
      <c r="D58" s="479" t="s">
        <v>50</v>
      </c>
      <c r="E58" s="505">
        <v>16004.372935125</v>
      </c>
      <c r="F58" s="488">
        <v>32008.75</v>
      </c>
      <c r="G58" s="460">
        <v>0</v>
      </c>
      <c r="H58" s="472">
        <v>2</v>
      </c>
      <c r="I58" s="472">
        <f t="shared" si="31"/>
        <v>2</v>
      </c>
      <c r="J58" s="473">
        <f t="shared" si="32"/>
        <v>1</v>
      </c>
      <c r="K58" s="474">
        <f t="shared" si="33"/>
        <v>0</v>
      </c>
      <c r="L58" s="474">
        <f t="shared" si="34"/>
        <v>32008.745870250001</v>
      </c>
      <c r="M58" s="474">
        <f t="shared" si="35"/>
        <v>32008.745870250001</v>
      </c>
      <c r="N58" s="466"/>
    </row>
    <row r="59" spans="1:14">
      <c r="A59" s="467">
        <v>3.06</v>
      </c>
      <c r="B59" s="508" t="s">
        <v>389</v>
      </c>
      <c r="C59" s="469">
        <v>4</v>
      </c>
      <c r="D59" s="479" t="s">
        <v>50</v>
      </c>
      <c r="E59" s="505">
        <v>32175</v>
      </c>
      <c r="F59" s="505">
        <v>128700</v>
      </c>
      <c r="G59" s="460">
        <v>0</v>
      </c>
      <c r="H59" s="472">
        <v>4</v>
      </c>
      <c r="I59" s="472">
        <f t="shared" si="31"/>
        <v>4</v>
      </c>
      <c r="J59" s="473">
        <f t="shared" si="32"/>
        <v>1</v>
      </c>
      <c r="K59" s="474">
        <f t="shared" si="33"/>
        <v>0</v>
      </c>
      <c r="L59" s="474">
        <f t="shared" si="34"/>
        <v>128700</v>
      </c>
      <c r="M59" s="474">
        <f t="shared" si="35"/>
        <v>128700</v>
      </c>
      <c r="N59" s="466"/>
    </row>
    <row r="60" spans="1:14" s="493" customFormat="1" ht="12.75">
      <c r="A60" s="476">
        <v>4</v>
      </c>
      <c r="B60" s="506" t="s">
        <v>372</v>
      </c>
      <c r="C60" s="507"/>
      <c r="D60" s="497"/>
      <c r="E60" s="498"/>
      <c r="F60" s="498"/>
      <c r="G60" s="502"/>
      <c r="H60" s="482"/>
      <c r="I60" s="483"/>
      <c r="J60" s="482"/>
      <c r="K60" s="503"/>
      <c r="L60" s="503"/>
      <c r="M60" s="503"/>
      <c r="N60" s="492"/>
    </row>
    <row r="61" spans="1:14">
      <c r="A61" s="467">
        <v>4.01</v>
      </c>
      <c r="B61" s="508" t="s">
        <v>390</v>
      </c>
      <c r="C61" s="469">
        <v>12.1</v>
      </c>
      <c r="D61" s="479" t="s">
        <v>264</v>
      </c>
      <c r="E61" s="505">
        <v>6183.5548967622954</v>
      </c>
      <c r="F61" s="505">
        <v>74821.009999999995</v>
      </c>
      <c r="G61" s="460">
        <v>0</v>
      </c>
      <c r="H61" s="472">
        <v>12.1</v>
      </c>
      <c r="I61" s="472">
        <f t="shared" ref="I61" si="36">G61+H61</f>
        <v>12.1</v>
      </c>
      <c r="J61" s="473">
        <f t="shared" ref="J61" si="37">I61/C61</f>
        <v>1</v>
      </c>
      <c r="K61" s="474">
        <f t="shared" ref="K61" si="38">G61*E61</f>
        <v>0</v>
      </c>
      <c r="L61" s="474">
        <f t="shared" ref="L61" si="39">H61*E61</f>
        <v>74821.014250823777</v>
      </c>
      <c r="M61" s="474">
        <f t="shared" ref="M61:M62" si="40">K61+L61</f>
        <v>74821.014250823777</v>
      </c>
      <c r="N61" s="466"/>
    </row>
    <row r="62" spans="1:14" s="493" customFormat="1" ht="12.75">
      <c r="A62" s="476"/>
      <c r="B62" s="477" t="s">
        <v>44</v>
      </c>
      <c r="C62" s="507"/>
      <c r="D62" s="497"/>
      <c r="E62" s="498"/>
      <c r="F62" s="481">
        <f>SUM(F50:F61)</f>
        <v>968085.48999999987</v>
      </c>
      <c r="G62" s="482"/>
      <c r="H62" s="482"/>
      <c r="I62" s="483"/>
      <c r="J62" s="482"/>
      <c r="K62" s="484">
        <f>SUM(K50:K61)</f>
        <v>0</v>
      </c>
      <c r="L62" s="484">
        <f>SUM(L50:L61)</f>
        <v>968085.49973182369</v>
      </c>
      <c r="M62" s="484">
        <f t="shared" si="40"/>
        <v>968085.49973182369</v>
      </c>
      <c r="N62" s="492"/>
    </row>
    <row r="63" spans="1:14" s="493" customFormat="1" ht="24">
      <c r="A63" s="476" t="s">
        <v>203</v>
      </c>
      <c r="B63" s="506" t="s">
        <v>391</v>
      </c>
      <c r="C63" s="496"/>
      <c r="D63" s="497"/>
      <c r="E63" s="498"/>
      <c r="F63" s="498"/>
      <c r="G63" s="482"/>
      <c r="H63" s="482"/>
      <c r="I63" s="483"/>
      <c r="J63" s="482"/>
      <c r="K63" s="503"/>
      <c r="L63" s="503"/>
      <c r="M63" s="503"/>
      <c r="N63" s="492"/>
    </row>
    <row r="64" spans="1:14">
      <c r="A64" s="467">
        <v>1</v>
      </c>
      <c r="B64" s="508" t="s">
        <v>392</v>
      </c>
      <c r="C64" s="469"/>
      <c r="D64" s="479"/>
      <c r="E64" s="480"/>
      <c r="F64" s="480"/>
      <c r="G64" s="460"/>
      <c r="H64" s="463"/>
      <c r="I64" s="499"/>
      <c r="J64" s="463"/>
      <c r="K64" s="464"/>
      <c r="L64" s="464"/>
      <c r="M64" s="464"/>
      <c r="N64" s="466"/>
    </row>
    <row r="65" spans="1:14" s="493" customFormat="1" ht="12.75">
      <c r="A65" s="467">
        <v>1.01</v>
      </c>
      <c r="B65" s="508" t="s">
        <v>249</v>
      </c>
      <c r="C65" s="469">
        <v>1</v>
      </c>
      <c r="D65" s="479" t="s">
        <v>393</v>
      </c>
      <c r="E65" s="488">
        <v>9000</v>
      </c>
      <c r="F65" s="488">
        <v>9000</v>
      </c>
      <c r="G65" s="460">
        <v>0</v>
      </c>
      <c r="H65" s="472">
        <v>1</v>
      </c>
      <c r="I65" s="472">
        <f t="shared" ref="I65:I66" si="41">G65+H65</f>
        <v>1</v>
      </c>
      <c r="J65" s="473">
        <f t="shared" ref="J65:J66" si="42">I65/C65</f>
        <v>1</v>
      </c>
      <c r="K65" s="474">
        <f t="shared" ref="K65:K66" si="43">G65*E65</f>
        <v>0</v>
      </c>
      <c r="L65" s="474">
        <f t="shared" ref="L65:L66" si="44">H65*E65</f>
        <v>9000</v>
      </c>
      <c r="M65" s="474">
        <f t="shared" ref="M65:M66" si="45">K65+L65</f>
        <v>9000</v>
      </c>
      <c r="N65" s="492"/>
    </row>
    <row r="66" spans="1:14">
      <c r="A66" s="467">
        <v>1.02</v>
      </c>
      <c r="B66" s="508" t="s">
        <v>394</v>
      </c>
      <c r="C66" s="469">
        <v>1</v>
      </c>
      <c r="D66" s="479" t="s">
        <v>50</v>
      </c>
      <c r="E66" s="505">
        <v>327237.78999999998</v>
      </c>
      <c r="F66" s="505">
        <v>327237.78999999998</v>
      </c>
      <c r="G66" s="460">
        <v>0</v>
      </c>
      <c r="H66" s="472">
        <v>1</v>
      </c>
      <c r="I66" s="472">
        <f t="shared" si="41"/>
        <v>1</v>
      </c>
      <c r="J66" s="473">
        <f t="shared" si="42"/>
        <v>1</v>
      </c>
      <c r="K66" s="474">
        <f t="shared" si="43"/>
        <v>0</v>
      </c>
      <c r="L66" s="474">
        <f t="shared" si="44"/>
        <v>327237.78999999998</v>
      </c>
      <c r="M66" s="474">
        <f t="shared" si="45"/>
        <v>327237.78999999998</v>
      </c>
      <c r="N66" s="466"/>
    </row>
    <row r="67" spans="1:14">
      <c r="A67" s="511">
        <v>2</v>
      </c>
      <c r="B67" s="506" t="s">
        <v>182</v>
      </c>
      <c r="C67" s="469"/>
      <c r="D67" s="479"/>
      <c r="E67" s="480"/>
      <c r="F67" s="480"/>
      <c r="G67" s="460"/>
      <c r="H67" s="463"/>
      <c r="I67" s="499"/>
      <c r="J67" s="463"/>
      <c r="K67" s="464"/>
      <c r="L67" s="464"/>
      <c r="M67" s="464"/>
      <c r="N67" s="466"/>
    </row>
    <row r="68" spans="1:14">
      <c r="A68" s="489">
        <v>2.0099999999999998</v>
      </c>
      <c r="B68" s="508" t="s">
        <v>395</v>
      </c>
      <c r="C68" s="490">
        <v>65</v>
      </c>
      <c r="D68" s="479" t="s">
        <v>30</v>
      </c>
      <c r="E68" s="510">
        <v>4455</v>
      </c>
      <c r="F68" s="491">
        <v>289575</v>
      </c>
      <c r="G68" s="460">
        <v>0</v>
      </c>
      <c r="H68" s="472">
        <v>65</v>
      </c>
      <c r="I68" s="472">
        <f t="shared" ref="I68:I71" si="46">G68+H68</f>
        <v>65</v>
      </c>
      <c r="J68" s="473">
        <f t="shared" ref="J68:J71" si="47">I68/C68</f>
        <v>1</v>
      </c>
      <c r="K68" s="474">
        <f t="shared" ref="K68:K71" si="48">G68*E68</f>
        <v>0</v>
      </c>
      <c r="L68" s="474">
        <f t="shared" ref="L68:L71" si="49">H68*E68</f>
        <v>289575</v>
      </c>
      <c r="M68" s="474">
        <f t="shared" ref="M68:M71" si="50">K68+L68</f>
        <v>289575</v>
      </c>
      <c r="N68" s="466"/>
    </row>
    <row r="69" spans="1:14">
      <c r="A69" s="467">
        <v>2.02</v>
      </c>
      <c r="B69" s="508" t="s">
        <v>396</v>
      </c>
      <c r="C69" s="469">
        <v>1</v>
      </c>
      <c r="D69" s="479" t="s">
        <v>88</v>
      </c>
      <c r="E69" s="505">
        <v>3960</v>
      </c>
      <c r="F69" s="488">
        <v>3960</v>
      </c>
      <c r="G69" s="460">
        <v>1</v>
      </c>
      <c r="H69" s="460"/>
      <c r="I69" s="472">
        <f t="shared" si="46"/>
        <v>1</v>
      </c>
      <c r="J69" s="473">
        <f t="shared" si="47"/>
        <v>1</v>
      </c>
      <c r="K69" s="474">
        <f t="shared" si="48"/>
        <v>3960</v>
      </c>
      <c r="L69" s="474">
        <f t="shared" si="49"/>
        <v>0</v>
      </c>
      <c r="M69" s="474">
        <f t="shared" si="50"/>
        <v>3960</v>
      </c>
      <c r="N69" s="466"/>
    </row>
    <row r="70" spans="1:14">
      <c r="A70" s="467">
        <v>2.0299999999999998</v>
      </c>
      <c r="B70" s="508" t="s">
        <v>397</v>
      </c>
      <c r="C70" s="469">
        <v>1</v>
      </c>
      <c r="D70" s="479" t="s">
        <v>88</v>
      </c>
      <c r="E70" s="505">
        <v>24474.13</v>
      </c>
      <c r="F70" s="505">
        <v>24474.13</v>
      </c>
      <c r="G70" s="460">
        <v>1</v>
      </c>
      <c r="H70" s="460"/>
      <c r="I70" s="472">
        <f t="shared" si="46"/>
        <v>1</v>
      </c>
      <c r="J70" s="473">
        <f t="shared" si="47"/>
        <v>1</v>
      </c>
      <c r="K70" s="474">
        <f t="shared" si="48"/>
        <v>24474.13</v>
      </c>
      <c r="L70" s="474">
        <f t="shared" si="49"/>
        <v>0</v>
      </c>
      <c r="M70" s="474">
        <f t="shared" si="50"/>
        <v>24474.13</v>
      </c>
      <c r="N70" s="466"/>
    </row>
    <row r="71" spans="1:14" ht="24">
      <c r="A71" s="467">
        <v>2.04</v>
      </c>
      <c r="B71" s="508" t="s">
        <v>398</v>
      </c>
      <c r="C71" s="469">
        <v>1</v>
      </c>
      <c r="D71" s="479" t="s">
        <v>88</v>
      </c>
      <c r="E71" s="505">
        <v>70040.320000000007</v>
      </c>
      <c r="F71" s="505">
        <v>70040.320000000007</v>
      </c>
      <c r="G71" s="460">
        <v>1</v>
      </c>
      <c r="H71" s="460"/>
      <c r="I71" s="472">
        <f t="shared" si="46"/>
        <v>1</v>
      </c>
      <c r="J71" s="473">
        <f t="shared" si="47"/>
        <v>1</v>
      </c>
      <c r="K71" s="474">
        <f t="shared" si="48"/>
        <v>70040.320000000007</v>
      </c>
      <c r="L71" s="474">
        <f t="shared" si="49"/>
        <v>0</v>
      </c>
      <c r="M71" s="474">
        <f t="shared" si="50"/>
        <v>70040.320000000007</v>
      </c>
      <c r="N71" s="466"/>
    </row>
    <row r="72" spans="1:14" s="493" customFormat="1" ht="12.75">
      <c r="A72" s="476">
        <v>3</v>
      </c>
      <c r="B72" s="506" t="s">
        <v>399</v>
      </c>
      <c r="C72" s="496"/>
      <c r="D72" s="497"/>
      <c r="E72" s="498"/>
      <c r="F72" s="498"/>
      <c r="G72" s="502"/>
      <c r="H72" s="482"/>
      <c r="I72" s="483"/>
      <c r="J72" s="482"/>
      <c r="K72" s="503"/>
      <c r="L72" s="503"/>
      <c r="M72" s="503"/>
      <c r="N72" s="492"/>
    </row>
    <row r="73" spans="1:14">
      <c r="A73" s="467">
        <v>3.01</v>
      </c>
      <c r="B73" s="508" t="s">
        <v>37</v>
      </c>
      <c r="C73" s="469">
        <v>978.2</v>
      </c>
      <c r="D73" s="479" t="s">
        <v>38</v>
      </c>
      <c r="E73" s="505">
        <v>198</v>
      </c>
      <c r="F73" s="505">
        <v>193683.6</v>
      </c>
      <c r="G73" s="460">
        <v>0</v>
      </c>
      <c r="H73" s="472">
        <v>978.2</v>
      </c>
      <c r="I73" s="472">
        <f t="shared" ref="I73:I88" si="51">G73+H73</f>
        <v>978.2</v>
      </c>
      <c r="J73" s="473">
        <f t="shared" ref="J73:J88" si="52">I73/C73</f>
        <v>1</v>
      </c>
      <c r="K73" s="474">
        <f t="shared" ref="K73:K88" si="53">G73*E73</f>
        <v>0</v>
      </c>
      <c r="L73" s="474">
        <f t="shared" ref="L73:L88" si="54">H73*E73</f>
        <v>193683.6</v>
      </c>
      <c r="M73" s="474">
        <f t="shared" ref="M73:M88" si="55">K73+L73</f>
        <v>193683.6</v>
      </c>
      <c r="N73" s="466"/>
    </row>
    <row r="74" spans="1:14" ht="24">
      <c r="A74" s="467">
        <v>3.02</v>
      </c>
      <c r="B74" s="508" t="s">
        <v>400</v>
      </c>
      <c r="C74" s="469">
        <v>1271.6600000000001</v>
      </c>
      <c r="D74" s="479" t="s">
        <v>38</v>
      </c>
      <c r="E74" s="505">
        <v>247.5</v>
      </c>
      <c r="F74" s="505">
        <v>314735.85000000003</v>
      </c>
      <c r="G74" s="460">
        <v>0</v>
      </c>
      <c r="H74" s="472">
        <v>1271.6600000000001</v>
      </c>
      <c r="I74" s="472">
        <f t="shared" si="51"/>
        <v>1271.6600000000001</v>
      </c>
      <c r="J74" s="473">
        <f t="shared" si="52"/>
        <v>1</v>
      </c>
      <c r="K74" s="474">
        <f t="shared" si="53"/>
        <v>0</v>
      </c>
      <c r="L74" s="474">
        <f t="shared" si="54"/>
        <v>314735.85000000003</v>
      </c>
      <c r="M74" s="474">
        <f t="shared" si="55"/>
        <v>314735.85000000003</v>
      </c>
      <c r="N74" s="466"/>
    </row>
    <row r="75" spans="1:14" ht="36">
      <c r="A75" s="467">
        <v>3.03</v>
      </c>
      <c r="B75" s="508" t="s">
        <v>401</v>
      </c>
      <c r="C75" s="469">
        <v>18.600000000000001</v>
      </c>
      <c r="D75" s="479" t="s">
        <v>38</v>
      </c>
      <c r="E75" s="505">
        <v>24552.52</v>
      </c>
      <c r="F75" s="505">
        <v>456676.87200000003</v>
      </c>
      <c r="G75" s="460">
        <v>0</v>
      </c>
      <c r="H75" s="472">
        <v>18.600000000000001</v>
      </c>
      <c r="I75" s="472">
        <f t="shared" si="51"/>
        <v>18.600000000000001</v>
      </c>
      <c r="J75" s="473">
        <f t="shared" si="52"/>
        <v>1</v>
      </c>
      <c r="K75" s="474">
        <f t="shared" si="53"/>
        <v>0</v>
      </c>
      <c r="L75" s="474">
        <f t="shared" si="54"/>
        <v>456676.87200000003</v>
      </c>
      <c r="M75" s="474">
        <f t="shared" si="55"/>
        <v>456676.87200000003</v>
      </c>
      <c r="N75" s="466"/>
    </row>
    <row r="76" spans="1:14">
      <c r="A76" s="467">
        <v>3.04</v>
      </c>
      <c r="B76" s="508" t="s">
        <v>402</v>
      </c>
      <c r="C76" s="469">
        <v>0.79</v>
      </c>
      <c r="D76" s="479" t="s">
        <v>38</v>
      </c>
      <c r="E76" s="505">
        <v>18365.16</v>
      </c>
      <c r="F76" s="505">
        <v>14508.476400000001</v>
      </c>
      <c r="G76" s="460">
        <v>0</v>
      </c>
      <c r="H76" s="472">
        <v>0.79</v>
      </c>
      <c r="I76" s="472">
        <f t="shared" si="51"/>
        <v>0.79</v>
      </c>
      <c r="J76" s="473">
        <f t="shared" si="52"/>
        <v>1</v>
      </c>
      <c r="K76" s="474">
        <f t="shared" si="53"/>
        <v>0</v>
      </c>
      <c r="L76" s="474">
        <f t="shared" si="54"/>
        <v>14508.476400000001</v>
      </c>
      <c r="M76" s="474">
        <f t="shared" si="55"/>
        <v>14508.476400000001</v>
      </c>
      <c r="N76" s="466"/>
    </row>
    <row r="77" spans="1:14" ht="24">
      <c r="A77" s="467">
        <v>3.05</v>
      </c>
      <c r="B77" s="508" t="s">
        <v>403</v>
      </c>
      <c r="C77" s="469">
        <v>0.63</v>
      </c>
      <c r="D77" s="479" t="s">
        <v>38</v>
      </c>
      <c r="E77" s="505">
        <v>29027.83</v>
      </c>
      <c r="F77" s="505">
        <v>18287.532900000002</v>
      </c>
      <c r="G77" s="460">
        <v>0</v>
      </c>
      <c r="H77" s="472">
        <v>0.63</v>
      </c>
      <c r="I77" s="472">
        <f t="shared" si="51"/>
        <v>0.63</v>
      </c>
      <c r="J77" s="473">
        <f t="shared" si="52"/>
        <v>1</v>
      </c>
      <c r="K77" s="474">
        <f t="shared" si="53"/>
        <v>0</v>
      </c>
      <c r="L77" s="474">
        <f t="shared" si="54"/>
        <v>18287.532900000002</v>
      </c>
      <c r="M77" s="474">
        <f t="shared" si="55"/>
        <v>18287.532900000002</v>
      </c>
      <c r="N77" s="466"/>
    </row>
    <row r="78" spans="1:14" ht="24">
      <c r="A78" s="467">
        <v>3.06</v>
      </c>
      <c r="B78" s="508" t="s">
        <v>404</v>
      </c>
      <c r="C78" s="469">
        <v>1.9</v>
      </c>
      <c r="D78" s="479" t="s">
        <v>38</v>
      </c>
      <c r="E78" s="505">
        <v>36474.19</v>
      </c>
      <c r="F78" s="505">
        <v>69300.960999999996</v>
      </c>
      <c r="G78" s="460">
        <v>0</v>
      </c>
      <c r="H78" s="472">
        <v>1.9</v>
      </c>
      <c r="I78" s="472">
        <f t="shared" si="51"/>
        <v>1.9</v>
      </c>
      <c r="J78" s="473">
        <f t="shared" si="52"/>
        <v>1</v>
      </c>
      <c r="K78" s="474">
        <f t="shared" si="53"/>
        <v>0</v>
      </c>
      <c r="L78" s="474">
        <f t="shared" si="54"/>
        <v>69300.960999999996</v>
      </c>
      <c r="M78" s="474">
        <f t="shared" si="55"/>
        <v>69300.960999999996</v>
      </c>
      <c r="N78" s="466"/>
    </row>
    <row r="79" spans="1:14" ht="24">
      <c r="A79" s="467">
        <v>3.07</v>
      </c>
      <c r="B79" s="508" t="s">
        <v>405</v>
      </c>
      <c r="C79" s="469">
        <v>4.95</v>
      </c>
      <c r="D79" s="479" t="s">
        <v>38</v>
      </c>
      <c r="E79" s="505">
        <v>36417.410000000003</v>
      </c>
      <c r="F79" s="505">
        <v>180266.17950000003</v>
      </c>
      <c r="G79" s="460">
        <v>0</v>
      </c>
      <c r="H79" s="472">
        <v>4.95</v>
      </c>
      <c r="I79" s="472">
        <f t="shared" si="51"/>
        <v>4.95</v>
      </c>
      <c r="J79" s="473">
        <f t="shared" si="52"/>
        <v>1</v>
      </c>
      <c r="K79" s="474">
        <f t="shared" si="53"/>
        <v>0</v>
      </c>
      <c r="L79" s="474">
        <f t="shared" si="54"/>
        <v>180266.17950000003</v>
      </c>
      <c r="M79" s="474">
        <f t="shared" si="55"/>
        <v>180266.17950000003</v>
      </c>
      <c r="N79" s="466"/>
    </row>
    <row r="80" spans="1:14" s="493" customFormat="1" ht="36">
      <c r="A80" s="467">
        <v>3.08</v>
      </c>
      <c r="B80" s="508" t="s">
        <v>406</v>
      </c>
      <c r="C80" s="469">
        <v>59.960999999999999</v>
      </c>
      <c r="D80" s="479" t="s">
        <v>38</v>
      </c>
      <c r="E80" s="505">
        <v>28116.17</v>
      </c>
      <c r="F80" s="505">
        <v>1685873.6693699998</v>
      </c>
      <c r="G80" s="460">
        <v>0</v>
      </c>
      <c r="H80" s="472">
        <v>59.960999999999999</v>
      </c>
      <c r="I80" s="472">
        <f t="shared" si="51"/>
        <v>59.960999999999999</v>
      </c>
      <c r="J80" s="473">
        <f t="shared" si="52"/>
        <v>1</v>
      </c>
      <c r="K80" s="474">
        <f t="shared" si="53"/>
        <v>0</v>
      </c>
      <c r="L80" s="474">
        <f t="shared" si="54"/>
        <v>1685873.6693699998</v>
      </c>
      <c r="M80" s="474">
        <f t="shared" si="55"/>
        <v>1685873.6693699998</v>
      </c>
      <c r="N80" s="492"/>
    </row>
    <row r="81" spans="1:14" ht="24">
      <c r="A81" s="467">
        <v>3.09</v>
      </c>
      <c r="B81" s="508" t="s">
        <v>407</v>
      </c>
      <c r="C81" s="469">
        <v>28.3</v>
      </c>
      <c r="D81" s="479" t="s">
        <v>38</v>
      </c>
      <c r="E81" s="505">
        <v>28998.11</v>
      </c>
      <c r="F81" s="505">
        <v>820646.51300000004</v>
      </c>
      <c r="G81" s="460">
        <v>0</v>
      </c>
      <c r="H81" s="472">
        <v>28.3</v>
      </c>
      <c r="I81" s="472">
        <f t="shared" si="51"/>
        <v>28.3</v>
      </c>
      <c r="J81" s="473">
        <f t="shared" si="52"/>
        <v>1</v>
      </c>
      <c r="K81" s="474">
        <f t="shared" si="53"/>
        <v>0</v>
      </c>
      <c r="L81" s="474">
        <f t="shared" si="54"/>
        <v>820646.51300000004</v>
      </c>
      <c r="M81" s="474">
        <f t="shared" si="55"/>
        <v>820646.51300000004</v>
      </c>
      <c r="N81" s="466"/>
    </row>
    <row r="82" spans="1:14" s="446" customFormat="1" ht="24">
      <c r="A82" s="512">
        <v>3.1</v>
      </c>
      <c r="B82" s="508" t="s">
        <v>408</v>
      </c>
      <c r="C82" s="469">
        <v>44.18</v>
      </c>
      <c r="D82" s="479" t="s">
        <v>38</v>
      </c>
      <c r="E82" s="505">
        <v>27122.45</v>
      </c>
      <c r="F82" s="505">
        <v>1198269.841</v>
      </c>
      <c r="G82" s="460">
        <v>0</v>
      </c>
      <c r="H82" s="472">
        <v>44.18</v>
      </c>
      <c r="I82" s="472">
        <f t="shared" si="51"/>
        <v>44.18</v>
      </c>
      <c r="J82" s="473">
        <f t="shared" si="52"/>
        <v>1</v>
      </c>
      <c r="K82" s="474">
        <f t="shared" si="53"/>
        <v>0</v>
      </c>
      <c r="L82" s="474">
        <f t="shared" si="54"/>
        <v>1198269.841</v>
      </c>
      <c r="M82" s="474">
        <f t="shared" si="55"/>
        <v>1198269.841</v>
      </c>
      <c r="N82" s="475"/>
    </row>
    <row r="83" spans="1:14">
      <c r="A83" s="467">
        <v>3.11</v>
      </c>
      <c r="B83" s="508" t="s">
        <v>409</v>
      </c>
      <c r="C83" s="469">
        <v>1</v>
      </c>
      <c r="D83" s="479" t="s">
        <v>50</v>
      </c>
      <c r="E83" s="505">
        <v>1136.3800000000001</v>
      </c>
      <c r="F83" s="505">
        <v>1136.3800000000001</v>
      </c>
      <c r="G83" s="460">
        <v>0</v>
      </c>
      <c r="H83" s="472">
        <v>1</v>
      </c>
      <c r="I83" s="472">
        <f t="shared" si="51"/>
        <v>1</v>
      </c>
      <c r="J83" s="473">
        <f t="shared" si="52"/>
        <v>1</v>
      </c>
      <c r="K83" s="474">
        <f t="shared" si="53"/>
        <v>0</v>
      </c>
      <c r="L83" s="474">
        <f t="shared" si="54"/>
        <v>1136.3800000000001</v>
      </c>
      <c r="M83" s="474">
        <f t="shared" si="55"/>
        <v>1136.3800000000001</v>
      </c>
      <c r="N83" s="466"/>
    </row>
    <row r="84" spans="1:14">
      <c r="A84" s="467">
        <v>3.12</v>
      </c>
      <c r="B84" s="508" t="s">
        <v>410</v>
      </c>
      <c r="C84" s="469">
        <v>1</v>
      </c>
      <c r="D84" s="479" t="s">
        <v>50</v>
      </c>
      <c r="E84" s="505">
        <v>26414.32</v>
      </c>
      <c r="F84" s="505">
        <v>26414.32</v>
      </c>
      <c r="G84" s="460">
        <v>0</v>
      </c>
      <c r="H84" s="472">
        <v>1</v>
      </c>
      <c r="I84" s="472">
        <f t="shared" si="51"/>
        <v>1</v>
      </c>
      <c r="J84" s="473">
        <f t="shared" si="52"/>
        <v>1</v>
      </c>
      <c r="K84" s="474">
        <f t="shared" si="53"/>
        <v>0</v>
      </c>
      <c r="L84" s="474">
        <f t="shared" si="54"/>
        <v>26414.32</v>
      </c>
      <c r="M84" s="474">
        <f t="shared" si="55"/>
        <v>26414.32</v>
      </c>
      <c r="N84" s="466"/>
    </row>
    <row r="85" spans="1:14">
      <c r="A85" s="467">
        <v>3.13</v>
      </c>
      <c r="B85" s="508" t="s">
        <v>411</v>
      </c>
      <c r="C85" s="469">
        <v>380.27</v>
      </c>
      <c r="D85" s="479" t="s">
        <v>189</v>
      </c>
      <c r="E85" s="505">
        <v>648.71</v>
      </c>
      <c r="F85" s="505">
        <v>246684.95170000001</v>
      </c>
      <c r="G85" s="460">
        <v>0</v>
      </c>
      <c r="H85" s="472">
        <v>380.27</v>
      </c>
      <c r="I85" s="472">
        <f t="shared" si="51"/>
        <v>380.27</v>
      </c>
      <c r="J85" s="473">
        <f t="shared" si="52"/>
        <v>1</v>
      </c>
      <c r="K85" s="474">
        <f t="shared" si="53"/>
        <v>0</v>
      </c>
      <c r="L85" s="474">
        <f t="shared" si="54"/>
        <v>246684.95170000001</v>
      </c>
      <c r="M85" s="474">
        <f t="shared" si="55"/>
        <v>246684.95170000001</v>
      </c>
      <c r="N85" s="466"/>
    </row>
    <row r="86" spans="1:14">
      <c r="A86" s="467">
        <v>3.13</v>
      </c>
      <c r="B86" s="508" t="s">
        <v>270</v>
      </c>
      <c r="C86" s="469">
        <v>380.27</v>
      </c>
      <c r="D86" s="479" t="s">
        <v>189</v>
      </c>
      <c r="E86" s="505">
        <v>84.69</v>
      </c>
      <c r="F86" s="505">
        <v>32205.066299999999</v>
      </c>
      <c r="G86" s="460">
        <v>0</v>
      </c>
      <c r="H86" s="472">
        <v>380.27</v>
      </c>
      <c r="I86" s="472">
        <f t="shared" si="51"/>
        <v>380.27</v>
      </c>
      <c r="J86" s="473">
        <f t="shared" si="52"/>
        <v>1</v>
      </c>
      <c r="K86" s="474">
        <f t="shared" si="53"/>
        <v>0</v>
      </c>
      <c r="L86" s="474">
        <f t="shared" si="54"/>
        <v>32205.066299999999</v>
      </c>
      <c r="M86" s="474">
        <f t="shared" si="55"/>
        <v>32205.066299999999</v>
      </c>
      <c r="N86" s="466"/>
    </row>
    <row r="87" spans="1:14">
      <c r="A87" s="467">
        <v>3.14</v>
      </c>
      <c r="B87" s="508" t="s">
        <v>412</v>
      </c>
      <c r="C87" s="469">
        <v>55</v>
      </c>
      <c r="D87" s="479" t="s">
        <v>30</v>
      </c>
      <c r="E87" s="505">
        <v>120.86</v>
      </c>
      <c r="F87" s="505">
        <v>6647.3</v>
      </c>
      <c r="G87" s="460">
        <v>0</v>
      </c>
      <c r="H87" s="472">
        <v>55</v>
      </c>
      <c r="I87" s="472">
        <f t="shared" si="51"/>
        <v>55</v>
      </c>
      <c r="J87" s="473">
        <f t="shared" si="52"/>
        <v>1</v>
      </c>
      <c r="K87" s="474">
        <f t="shared" si="53"/>
        <v>0</v>
      </c>
      <c r="L87" s="474">
        <f t="shared" si="54"/>
        <v>6647.3</v>
      </c>
      <c r="M87" s="474">
        <f t="shared" si="55"/>
        <v>6647.3</v>
      </c>
      <c r="N87" s="466"/>
    </row>
    <row r="88" spans="1:14">
      <c r="A88" s="467">
        <v>3.15</v>
      </c>
      <c r="B88" s="508" t="s">
        <v>413</v>
      </c>
      <c r="C88" s="469">
        <v>1</v>
      </c>
      <c r="D88" s="479" t="s">
        <v>32</v>
      </c>
      <c r="E88" s="505">
        <v>7306.25</v>
      </c>
      <c r="F88" s="505">
        <v>7306.25</v>
      </c>
      <c r="G88" s="460">
        <v>0</v>
      </c>
      <c r="H88" s="472">
        <v>1</v>
      </c>
      <c r="I88" s="472">
        <f t="shared" si="51"/>
        <v>1</v>
      </c>
      <c r="J88" s="473">
        <f t="shared" si="52"/>
        <v>1</v>
      </c>
      <c r="K88" s="474">
        <f t="shared" si="53"/>
        <v>0</v>
      </c>
      <c r="L88" s="474">
        <f t="shared" si="54"/>
        <v>7306.25</v>
      </c>
      <c r="M88" s="474">
        <f t="shared" si="55"/>
        <v>7306.25</v>
      </c>
      <c r="N88" s="466"/>
    </row>
    <row r="89" spans="1:14" s="493" customFormat="1" ht="12.75">
      <c r="A89" s="476">
        <v>4</v>
      </c>
      <c r="B89" s="506" t="s">
        <v>414</v>
      </c>
      <c r="C89" s="496"/>
      <c r="D89" s="497"/>
      <c r="E89" s="498"/>
      <c r="F89" s="498"/>
      <c r="G89" s="502"/>
      <c r="H89" s="482"/>
      <c r="I89" s="483"/>
      <c r="J89" s="482"/>
      <c r="K89" s="503"/>
      <c r="L89" s="503"/>
      <c r="M89" s="503"/>
      <c r="N89" s="492"/>
    </row>
    <row r="90" spans="1:14">
      <c r="A90" s="467">
        <v>4.01</v>
      </c>
      <c r="B90" s="508" t="s">
        <v>382</v>
      </c>
      <c r="C90" s="469">
        <v>89.56</v>
      </c>
      <c r="D90" s="479" t="s">
        <v>189</v>
      </c>
      <c r="E90" s="505">
        <v>280</v>
      </c>
      <c r="F90" s="488">
        <v>25076.799999999999</v>
      </c>
      <c r="G90" s="460">
        <v>0</v>
      </c>
      <c r="H90" s="472">
        <v>89.56</v>
      </c>
      <c r="I90" s="472">
        <f t="shared" ref="I90" si="56">G90+H90</f>
        <v>89.56</v>
      </c>
      <c r="J90" s="473">
        <f t="shared" ref="J90" si="57">I90/C90</f>
        <v>1</v>
      </c>
      <c r="K90" s="474">
        <f t="shared" ref="K90" si="58">G90*E90</f>
        <v>0</v>
      </c>
      <c r="L90" s="474">
        <f t="shared" ref="L90" si="59">H90*E90</f>
        <v>25076.799999999999</v>
      </c>
      <c r="M90" s="474">
        <f t="shared" ref="M90" si="60">K90+L90</f>
        <v>25076.799999999999</v>
      </c>
      <c r="N90" s="466"/>
    </row>
    <row r="91" spans="1:14">
      <c r="A91" s="489">
        <v>5</v>
      </c>
      <c r="B91" s="508" t="s">
        <v>383</v>
      </c>
      <c r="C91" s="490"/>
      <c r="D91" s="479"/>
      <c r="E91" s="513"/>
      <c r="F91" s="513"/>
      <c r="G91" s="460"/>
      <c r="H91" s="463"/>
      <c r="I91" s="499"/>
      <c r="J91" s="463"/>
      <c r="K91" s="464"/>
      <c r="L91" s="464"/>
      <c r="M91" s="464"/>
      <c r="N91" s="466"/>
    </row>
    <row r="92" spans="1:14" s="493" customFormat="1" ht="24">
      <c r="A92" s="489">
        <v>5.01</v>
      </c>
      <c r="B92" s="508" t="s">
        <v>415</v>
      </c>
      <c r="C92" s="469">
        <v>2</v>
      </c>
      <c r="D92" s="479" t="s">
        <v>50</v>
      </c>
      <c r="E92" s="505">
        <v>49155.61</v>
      </c>
      <c r="F92" s="488">
        <v>98311.22</v>
      </c>
      <c r="G92" s="460">
        <v>0</v>
      </c>
      <c r="H92" s="472">
        <v>2</v>
      </c>
      <c r="I92" s="472">
        <f t="shared" ref="I92:I99" si="61">G92+H92</f>
        <v>2</v>
      </c>
      <c r="J92" s="473">
        <f t="shared" ref="J92:J99" si="62">I92/C92</f>
        <v>1</v>
      </c>
      <c r="K92" s="474">
        <f t="shared" ref="K92:K99" si="63">G92*E92</f>
        <v>0</v>
      </c>
      <c r="L92" s="474">
        <f t="shared" ref="L92:L99" si="64">H92*E92</f>
        <v>98311.22</v>
      </c>
      <c r="M92" s="474">
        <f t="shared" ref="M92:M100" si="65">K92+L92</f>
        <v>98311.22</v>
      </c>
      <c r="N92" s="492"/>
    </row>
    <row r="93" spans="1:14" ht="24">
      <c r="A93" s="467">
        <v>5.0199999999999996</v>
      </c>
      <c r="B93" s="508" t="s">
        <v>416</v>
      </c>
      <c r="C93" s="469">
        <v>1</v>
      </c>
      <c r="D93" s="479" t="s">
        <v>50</v>
      </c>
      <c r="E93" s="505">
        <v>77516.710000000006</v>
      </c>
      <c r="F93" s="488">
        <v>77516.710000000006</v>
      </c>
      <c r="G93" s="460">
        <v>0</v>
      </c>
      <c r="H93" s="472">
        <v>1</v>
      </c>
      <c r="I93" s="472">
        <f t="shared" si="61"/>
        <v>1</v>
      </c>
      <c r="J93" s="473">
        <f t="shared" si="62"/>
        <v>1</v>
      </c>
      <c r="K93" s="474">
        <f t="shared" si="63"/>
        <v>0</v>
      </c>
      <c r="L93" s="474">
        <f t="shared" si="64"/>
        <v>77516.710000000006</v>
      </c>
      <c r="M93" s="474">
        <f t="shared" si="65"/>
        <v>77516.710000000006</v>
      </c>
      <c r="N93" s="466"/>
    </row>
    <row r="94" spans="1:14" s="515" customFormat="1" ht="24">
      <c r="A94" s="489">
        <v>5.03</v>
      </c>
      <c r="B94" s="508" t="s">
        <v>417</v>
      </c>
      <c r="C94" s="490">
        <v>1</v>
      </c>
      <c r="D94" s="479" t="s">
        <v>50</v>
      </c>
      <c r="E94" s="510">
        <v>115066.24000000001</v>
      </c>
      <c r="F94" s="491">
        <v>115066.24000000001</v>
      </c>
      <c r="G94" s="460">
        <v>0</v>
      </c>
      <c r="H94" s="472">
        <v>1</v>
      </c>
      <c r="I94" s="472">
        <f t="shared" si="61"/>
        <v>1</v>
      </c>
      <c r="J94" s="473">
        <f t="shared" si="62"/>
        <v>1</v>
      </c>
      <c r="K94" s="474">
        <f t="shared" si="63"/>
        <v>0</v>
      </c>
      <c r="L94" s="474">
        <f t="shared" si="64"/>
        <v>115066.24000000001</v>
      </c>
      <c r="M94" s="474">
        <f t="shared" si="65"/>
        <v>115066.24000000001</v>
      </c>
      <c r="N94" s="514"/>
    </row>
    <row r="95" spans="1:14" s="446" customFormat="1" ht="12.75">
      <c r="A95" s="467">
        <v>5.04</v>
      </c>
      <c r="B95" s="508" t="s">
        <v>418</v>
      </c>
      <c r="C95" s="469">
        <v>3</v>
      </c>
      <c r="D95" s="479" t="s">
        <v>50</v>
      </c>
      <c r="E95" s="505">
        <v>5466.2849999999999</v>
      </c>
      <c r="F95" s="488">
        <v>16398.86</v>
      </c>
      <c r="G95" s="460">
        <v>0</v>
      </c>
      <c r="H95" s="472">
        <v>3</v>
      </c>
      <c r="I95" s="472">
        <f t="shared" si="61"/>
        <v>3</v>
      </c>
      <c r="J95" s="473">
        <f t="shared" si="62"/>
        <v>1</v>
      </c>
      <c r="K95" s="474">
        <f t="shared" si="63"/>
        <v>0</v>
      </c>
      <c r="L95" s="474">
        <f t="shared" si="64"/>
        <v>16398.855</v>
      </c>
      <c r="M95" s="474">
        <f t="shared" si="65"/>
        <v>16398.855</v>
      </c>
      <c r="N95" s="475"/>
    </row>
    <row r="96" spans="1:14">
      <c r="A96" s="467">
        <v>5.05</v>
      </c>
      <c r="B96" s="508" t="s">
        <v>419</v>
      </c>
      <c r="C96" s="469">
        <v>3</v>
      </c>
      <c r="D96" s="479" t="s">
        <v>50</v>
      </c>
      <c r="E96" s="505">
        <v>5466.2849999999999</v>
      </c>
      <c r="F96" s="488">
        <v>16398.86</v>
      </c>
      <c r="G96" s="460">
        <v>0</v>
      </c>
      <c r="H96" s="472">
        <v>3</v>
      </c>
      <c r="I96" s="472">
        <f t="shared" si="61"/>
        <v>3</v>
      </c>
      <c r="J96" s="473">
        <f t="shared" si="62"/>
        <v>1</v>
      </c>
      <c r="K96" s="474">
        <f t="shared" si="63"/>
        <v>0</v>
      </c>
      <c r="L96" s="474">
        <f t="shared" si="64"/>
        <v>16398.855</v>
      </c>
      <c r="M96" s="474">
        <f t="shared" si="65"/>
        <v>16398.855</v>
      </c>
      <c r="N96" s="466"/>
    </row>
    <row r="97" spans="1:14">
      <c r="A97" s="467">
        <v>5.0599999999999996</v>
      </c>
      <c r="B97" s="508" t="s">
        <v>420</v>
      </c>
      <c r="C97" s="469">
        <v>2</v>
      </c>
      <c r="D97" s="479" t="s">
        <v>50</v>
      </c>
      <c r="E97" s="505">
        <v>15493.904935125</v>
      </c>
      <c r="F97" s="488">
        <v>30987.81</v>
      </c>
      <c r="G97" s="460">
        <v>0</v>
      </c>
      <c r="H97" s="472">
        <v>2</v>
      </c>
      <c r="I97" s="472">
        <f t="shared" si="61"/>
        <v>2</v>
      </c>
      <c r="J97" s="473">
        <f t="shared" si="62"/>
        <v>1</v>
      </c>
      <c r="K97" s="474">
        <f t="shared" si="63"/>
        <v>0</v>
      </c>
      <c r="L97" s="474">
        <f t="shared" si="64"/>
        <v>30987.809870249999</v>
      </c>
      <c r="M97" s="474">
        <f t="shared" si="65"/>
        <v>30987.809870249999</v>
      </c>
      <c r="N97" s="466"/>
    </row>
    <row r="98" spans="1:14">
      <c r="A98" s="467">
        <v>5.07</v>
      </c>
      <c r="B98" s="508" t="s">
        <v>421</v>
      </c>
      <c r="C98" s="469">
        <v>2</v>
      </c>
      <c r="D98" s="479" t="s">
        <v>50</v>
      </c>
      <c r="E98" s="505">
        <v>11331.648640799998</v>
      </c>
      <c r="F98" s="488">
        <v>22663.3</v>
      </c>
      <c r="G98" s="460">
        <v>0</v>
      </c>
      <c r="H98" s="472">
        <v>2</v>
      </c>
      <c r="I98" s="472">
        <f t="shared" si="61"/>
        <v>2</v>
      </c>
      <c r="J98" s="473">
        <f t="shared" si="62"/>
        <v>1</v>
      </c>
      <c r="K98" s="474">
        <f t="shared" si="63"/>
        <v>0</v>
      </c>
      <c r="L98" s="474">
        <f t="shared" si="64"/>
        <v>22663.297281599996</v>
      </c>
      <c r="M98" s="474">
        <f t="shared" si="65"/>
        <v>22663.297281599996</v>
      </c>
      <c r="N98" s="466"/>
    </row>
    <row r="99" spans="1:14">
      <c r="A99" s="467">
        <v>5.08</v>
      </c>
      <c r="B99" s="508" t="s">
        <v>389</v>
      </c>
      <c r="C99" s="469">
        <v>4</v>
      </c>
      <c r="D99" s="479" t="s">
        <v>50</v>
      </c>
      <c r="E99" s="505">
        <v>32175</v>
      </c>
      <c r="F99" s="505">
        <v>128700</v>
      </c>
      <c r="G99" s="460">
        <v>0</v>
      </c>
      <c r="H99" s="472">
        <v>4</v>
      </c>
      <c r="I99" s="472">
        <f t="shared" si="61"/>
        <v>4</v>
      </c>
      <c r="J99" s="473">
        <f t="shared" si="62"/>
        <v>1</v>
      </c>
      <c r="K99" s="474">
        <f t="shared" si="63"/>
        <v>0</v>
      </c>
      <c r="L99" s="474">
        <f t="shared" si="64"/>
        <v>128700</v>
      </c>
      <c r="M99" s="474">
        <f t="shared" si="65"/>
        <v>128700</v>
      </c>
      <c r="N99" s="466"/>
    </row>
    <row r="100" spans="1:14" s="493" customFormat="1" ht="12.75">
      <c r="A100" s="476"/>
      <c r="B100" s="477" t="s">
        <v>44</v>
      </c>
      <c r="C100" s="507"/>
      <c r="D100" s="497"/>
      <c r="E100" s="498"/>
      <c r="F100" s="481">
        <f>SUM(F65:F99)</f>
        <v>6528050.8031700002</v>
      </c>
      <c r="G100" s="502"/>
      <c r="H100" s="482"/>
      <c r="I100" s="483"/>
      <c r="J100" s="482"/>
      <c r="K100" s="484">
        <f>SUM(K65:K99)</f>
        <v>98474.450000000012</v>
      </c>
      <c r="L100" s="484">
        <f>SUM(L64:L99)</f>
        <v>6429576.34032185</v>
      </c>
      <c r="M100" s="484">
        <f t="shared" si="65"/>
        <v>6528050.7903218502</v>
      </c>
      <c r="N100" s="492"/>
    </row>
    <row r="101" spans="1:14" s="493" customFormat="1" ht="12.75">
      <c r="A101" s="476" t="s">
        <v>210</v>
      </c>
      <c r="B101" s="506" t="s">
        <v>422</v>
      </c>
      <c r="C101" s="507"/>
      <c r="D101" s="497"/>
      <c r="E101" s="498"/>
      <c r="F101" s="498"/>
      <c r="G101" s="502"/>
      <c r="H101" s="482"/>
      <c r="I101" s="483"/>
      <c r="J101" s="482"/>
      <c r="K101" s="503"/>
      <c r="L101" s="503"/>
      <c r="M101" s="503"/>
      <c r="N101" s="492"/>
    </row>
    <row r="102" spans="1:14" s="493" customFormat="1" ht="12.75">
      <c r="A102" s="457">
        <v>1</v>
      </c>
      <c r="B102" s="516" t="s">
        <v>423</v>
      </c>
      <c r="C102" s="517"/>
      <c r="D102" s="518"/>
      <c r="E102" s="519"/>
      <c r="F102" s="519"/>
      <c r="G102" s="502"/>
      <c r="H102" s="482"/>
      <c r="I102" s="483"/>
      <c r="J102" s="482"/>
      <c r="K102" s="503"/>
      <c r="L102" s="503"/>
      <c r="M102" s="503"/>
      <c r="N102" s="492"/>
    </row>
    <row r="103" spans="1:14" ht="36">
      <c r="A103" s="489">
        <v>1.01</v>
      </c>
      <c r="B103" s="508" t="s">
        <v>424</v>
      </c>
      <c r="C103" s="490">
        <v>3</v>
      </c>
      <c r="D103" s="479" t="s">
        <v>88</v>
      </c>
      <c r="E103" s="491">
        <v>65000</v>
      </c>
      <c r="F103" s="491">
        <v>195000</v>
      </c>
      <c r="G103" s="460">
        <v>0</v>
      </c>
      <c r="H103" s="472">
        <v>3</v>
      </c>
      <c r="I103" s="472">
        <f t="shared" ref="I103:I132" si="66">G103+H103</f>
        <v>3</v>
      </c>
      <c r="J103" s="473">
        <f t="shared" ref="J103:J132" si="67">I103/C103</f>
        <v>1</v>
      </c>
      <c r="K103" s="474">
        <f t="shared" ref="K103:K132" si="68">G103*E103</f>
        <v>0</v>
      </c>
      <c r="L103" s="474">
        <f t="shared" ref="L103:L132" si="69">H103*E103</f>
        <v>195000</v>
      </c>
      <c r="M103" s="474">
        <f t="shared" ref="M103:M132" si="70">K103+L103</f>
        <v>195000</v>
      </c>
      <c r="N103" s="466"/>
    </row>
    <row r="104" spans="1:14" s="493" customFormat="1" ht="12.75">
      <c r="A104" s="489">
        <v>1.02</v>
      </c>
      <c r="B104" s="508" t="s">
        <v>425</v>
      </c>
      <c r="C104" s="469">
        <v>1</v>
      </c>
      <c r="D104" s="479" t="s">
        <v>88</v>
      </c>
      <c r="E104" s="488">
        <v>13365</v>
      </c>
      <c r="F104" s="488">
        <v>13365</v>
      </c>
      <c r="G104" s="460">
        <v>0</v>
      </c>
      <c r="H104" s="472">
        <v>1</v>
      </c>
      <c r="I104" s="472">
        <f t="shared" si="66"/>
        <v>1</v>
      </c>
      <c r="J104" s="473">
        <f t="shared" si="67"/>
        <v>1</v>
      </c>
      <c r="K104" s="474">
        <f t="shared" si="68"/>
        <v>0</v>
      </c>
      <c r="L104" s="474">
        <f t="shared" si="69"/>
        <v>13365</v>
      </c>
      <c r="M104" s="474">
        <f t="shared" si="70"/>
        <v>13365</v>
      </c>
      <c r="N104" s="492"/>
    </row>
    <row r="105" spans="1:14">
      <c r="A105" s="467">
        <v>1.03</v>
      </c>
      <c r="B105" s="508" t="s">
        <v>426</v>
      </c>
      <c r="C105" s="469">
        <v>1</v>
      </c>
      <c r="D105" s="479" t="s">
        <v>427</v>
      </c>
      <c r="E105" s="488">
        <v>19800</v>
      </c>
      <c r="F105" s="488">
        <v>19800</v>
      </c>
      <c r="G105" s="460">
        <v>0</v>
      </c>
      <c r="H105" s="472">
        <v>1</v>
      </c>
      <c r="I105" s="472">
        <f t="shared" si="66"/>
        <v>1</v>
      </c>
      <c r="J105" s="473">
        <f t="shared" si="67"/>
        <v>1</v>
      </c>
      <c r="K105" s="474">
        <f t="shared" si="68"/>
        <v>0</v>
      </c>
      <c r="L105" s="474">
        <f t="shared" si="69"/>
        <v>19800</v>
      </c>
      <c r="M105" s="474">
        <f t="shared" si="70"/>
        <v>19800</v>
      </c>
      <c r="N105" s="466"/>
    </row>
    <row r="106" spans="1:14" s="446" customFormat="1" ht="24">
      <c r="A106" s="467">
        <v>1.04</v>
      </c>
      <c r="B106" s="508" t="s">
        <v>428</v>
      </c>
      <c r="C106" s="469">
        <v>1</v>
      </c>
      <c r="D106" s="479" t="s">
        <v>88</v>
      </c>
      <c r="E106" s="488">
        <v>29700</v>
      </c>
      <c r="F106" s="488">
        <v>29700</v>
      </c>
      <c r="G106" s="460">
        <v>0</v>
      </c>
      <c r="H106" s="472">
        <v>1</v>
      </c>
      <c r="I106" s="472">
        <f t="shared" si="66"/>
        <v>1</v>
      </c>
      <c r="J106" s="473">
        <f t="shared" si="67"/>
        <v>1</v>
      </c>
      <c r="K106" s="474">
        <f t="shared" si="68"/>
        <v>0</v>
      </c>
      <c r="L106" s="474">
        <f t="shared" si="69"/>
        <v>29700</v>
      </c>
      <c r="M106" s="474">
        <f t="shared" si="70"/>
        <v>29700</v>
      </c>
      <c r="N106" s="475"/>
    </row>
    <row r="107" spans="1:14" s="446" customFormat="1" ht="12.75">
      <c r="A107" s="467">
        <v>1.05</v>
      </c>
      <c r="B107" s="508" t="s">
        <v>429</v>
      </c>
      <c r="C107" s="469">
        <v>11</v>
      </c>
      <c r="D107" s="479" t="s">
        <v>427</v>
      </c>
      <c r="E107" s="488">
        <v>29205</v>
      </c>
      <c r="F107" s="488">
        <v>321255</v>
      </c>
      <c r="G107" s="460">
        <v>0</v>
      </c>
      <c r="H107" s="472"/>
      <c r="I107" s="472">
        <f t="shared" si="66"/>
        <v>0</v>
      </c>
      <c r="J107" s="473">
        <f t="shared" si="67"/>
        <v>0</v>
      </c>
      <c r="K107" s="474">
        <f t="shared" si="68"/>
        <v>0</v>
      </c>
      <c r="L107" s="474">
        <f t="shared" si="69"/>
        <v>0</v>
      </c>
      <c r="M107" s="474">
        <f t="shared" si="70"/>
        <v>0</v>
      </c>
      <c r="N107" s="475"/>
    </row>
    <row r="108" spans="1:14" s="446" customFormat="1" ht="12.75">
      <c r="A108" s="467">
        <v>1.06</v>
      </c>
      <c r="B108" s="508" t="s">
        <v>430</v>
      </c>
      <c r="C108" s="469">
        <v>2</v>
      </c>
      <c r="D108" s="479" t="s">
        <v>427</v>
      </c>
      <c r="E108" s="488">
        <v>31680</v>
      </c>
      <c r="F108" s="488">
        <v>63360</v>
      </c>
      <c r="G108" s="460">
        <v>0</v>
      </c>
      <c r="H108" s="472">
        <v>2</v>
      </c>
      <c r="I108" s="472">
        <f t="shared" si="66"/>
        <v>2</v>
      </c>
      <c r="J108" s="473">
        <f t="shared" si="67"/>
        <v>1</v>
      </c>
      <c r="K108" s="474">
        <f t="shared" si="68"/>
        <v>0</v>
      </c>
      <c r="L108" s="474">
        <f t="shared" si="69"/>
        <v>63360</v>
      </c>
      <c r="M108" s="474">
        <f t="shared" si="70"/>
        <v>63360</v>
      </c>
      <c r="N108" s="475"/>
    </row>
    <row r="109" spans="1:14">
      <c r="A109" s="467">
        <v>1.07</v>
      </c>
      <c r="B109" s="508" t="s">
        <v>431</v>
      </c>
      <c r="C109" s="469">
        <v>7500</v>
      </c>
      <c r="D109" s="479" t="s">
        <v>432</v>
      </c>
      <c r="E109" s="488">
        <v>69.3</v>
      </c>
      <c r="F109" s="488">
        <v>519750</v>
      </c>
      <c r="G109" s="460">
        <v>0</v>
      </c>
      <c r="H109" s="472"/>
      <c r="I109" s="472">
        <f t="shared" si="66"/>
        <v>0</v>
      </c>
      <c r="J109" s="473">
        <f t="shared" si="67"/>
        <v>0</v>
      </c>
      <c r="K109" s="474">
        <f t="shared" si="68"/>
        <v>0</v>
      </c>
      <c r="L109" s="474">
        <f t="shared" si="69"/>
        <v>0</v>
      </c>
      <c r="M109" s="474">
        <f t="shared" si="70"/>
        <v>0</v>
      </c>
      <c r="N109" s="466"/>
    </row>
    <row r="110" spans="1:14" s="446" customFormat="1" ht="12.75">
      <c r="A110" s="467">
        <v>1.08</v>
      </c>
      <c r="B110" s="508" t="s">
        <v>433</v>
      </c>
      <c r="C110" s="469">
        <v>4</v>
      </c>
      <c r="D110" s="479" t="s">
        <v>427</v>
      </c>
      <c r="E110" s="488">
        <v>31695.6816</v>
      </c>
      <c r="F110" s="488">
        <v>126782.73</v>
      </c>
      <c r="G110" s="460">
        <v>0</v>
      </c>
      <c r="H110" s="472"/>
      <c r="I110" s="472">
        <f t="shared" si="66"/>
        <v>0</v>
      </c>
      <c r="J110" s="473">
        <f t="shared" si="67"/>
        <v>0</v>
      </c>
      <c r="K110" s="474">
        <f t="shared" si="68"/>
        <v>0</v>
      </c>
      <c r="L110" s="474">
        <f t="shared" si="69"/>
        <v>0</v>
      </c>
      <c r="M110" s="474">
        <f t="shared" si="70"/>
        <v>0</v>
      </c>
      <c r="N110" s="475"/>
    </row>
    <row r="111" spans="1:14" s="446" customFormat="1" ht="12.75">
      <c r="A111" s="467">
        <v>1.0900000000000001</v>
      </c>
      <c r="B111" s="508" t="s">
        <v>434</v>
      </c>
      <c r="C111" s="469">
        <v>1</v>
      </c>
      <c r="D111" s="479" t="s">
        <v>427</v>
      </c>
      <c r="E111" s="488">
        <v>21014.8092</v>
      </c>
      <c r="F111" s="488">
        <v>21014.81</v>
      </c>
      <c r="G111" s="460">
        <v>0</v>
      </c>
      <c r="H111" s="472"/>
      <c r="I111" s="472">
        <f t="shared" si="66"/>
        <v>0</v>
      </c>
      <c r="J111" s="473">
        <f t="shared" si="67"/>
        <v>0</v>
      </c>
      <c r="K111" s="474">
        <f t="shared" si="68"/>
        <v>0</v>
      </c>
      <c r="L111" s="474">
        <f t="shared" si="69"/>
        <v>0</v>
      </c>
      <c r="M111" s="474">
        <f t="shared" si="70"/>
        <v>0</v>
      </c>
      <c r="N111" s="475"/>
    </row>
    <row r="112" spans="1:14">
      <c r="A112" s="512">
        <v>1.1000000000000001</v>
      </c>
      <c r="B112" s="508" t="s">
        <v>435</v>
      </c>
      <c r="C112" s="469">
        <v>9</v>
      </c>
      <c r="D112" s="479" t="s">
        <v>427</v>
      </c>
      <c r="E112" s="488">
        <v>6915.0708000000004</v>
      </c>
      <c r="F112" s="488">
        <v>62235.64</v>
      </c>
      <c r="G112" s="460">
        <v>0</v>
      </c>
      <c r="H112" s="472"/>
      <c r="I112" s="472">
        <f t="shared" si="66"/>
        <v>0</v>
      </c>
      <c r="J112" s="473">
        <f t="shared" si="67"/>
        <v>0</v>
      </c>
      <c r="K112" s="474">
        <f t="shared" si="68"/>
        <v>0</v>
      </c>
      <c r="L112" s="474">
        <f t="shared" si="69"/>
        <v>0</v>
      </c>
      <c r="M112" s="474">
        <f t="shared" si="70"/>
        <v>0</v>
      </c>
      <c r="N112" s="466"/>
    </row>
    <row r="113" spans="1:14">
      <c r="A113" s="467">
        <v>1.1100000000000001</v>
      </c>
      <c r="B113" s="508" t="s">
        <v>436</v>
      </c>
      <c r="C113" s="469">
        <v>1</v>
      </c>
      <c r="D113" s="479" t="s">
        <v>427</v>
      </c>
      <c r="E113" s="488">
        <v>27720</v>
      </c>
      <c r="F113" s="488">
        <v>27720</v>
      </c>
      <c r="G113" s="460">
        <v>0</v>
      </c>
      <c r="H113" s="472"/>
      <c r="I113" s="472">
        <f t="shared" si="66"/>
        <v>0</v>
      </c>
      <c r="J113" s="473">
        <f t="shared" si="67"/>
        <v>0</v>
      </c>
      <c r="K113" s="474">
        <f t="shared" si="68"/>
        <v>0</v>
      </c>
      <c r="L113" s="474">
        <f t="shared" si="69"/>
        <v>0</v>
      </c>
      <c r="M113" s="474">
        <f t="shared" si="70"/>
        <v>0</v>
      </c>
      <c r="N113" s="466"/>
    </row>
    <row r="114" spans="1:14">
      <c r="A114" s="467">
        <v>1.1200000000000001</v>
      </c>
      <c r="B114" s="508" t="s">
        <v>437</v>
      </c>
      <c r="C114" s="469">
        <v>5</v>
      </c>
      <c r="D114" s="479" t="s">
        <v>50</v>
      </c>
      <c r="E114" s="488">
        <v>5657.6025</v>
      </c>
      <c r="F114" s="488">
        <v>28288.01</v>
      </c>
      <c r="G114" s="460">
        <v>0</v>
      </c>
      <c r="H114" s="472"/>
      <c r="I114" s="472">
        <f t="shared" si="66"/>
        <v>0</v>
      </c>
      <c r="J114" s="473">
        <f t="shared" si="67"/>
        <v>0</v>
      </c>
      <c r="K114" s="474">
        <f t="shared" si="68"/>
        <v>0</v>
      </c>
      <c r="L114" s="474">
        <f t="shared" si="69"/>
        <v>0</v>
      </c>
      <c r="M114" s="474">
        <f t="shared" si="70"/>
        <v>0</v>
      </c>
      <c r="N114" s="466"/>
    </row>
    <row r="115" spans="1:14" s="493" customFormat="1" ht="12.75">
      <c r="A115" s="467">
        <v>1.1299999999999999</v>
      </c>
      <c r="B115" s="508" t="s">
        <v>438</v>
      </c>
      <c r="C115" s="469">
        <v>4</v>
      </c>
      <c r="D115" s="479" t="s">
        <v>427</v>
      </c>
      <c r="E115" s="488">
        <v>321.75</v>
      </c>
      <c r="F115" s="488">
        <v>1287</v>
      </c>
      <c r="G115" s="460">
        <v>0</v>
      </c>
      <c r="H115" s="472"/>
      <c r="I115" s="472">
        <f t="shared" si="66"/>
        <v>0</v>
      </c>
      <c r="J115" s="473">
        <f t="shared" si="67"/>
        <v>0</v>
      </c>
      <c r="K115" s="474">
        <f t="shared" si="68"/>
        <v>0</v>
      </c>
      <c r="L115" s="474">
        <f t="shared" si="69"/>
        <v>0</v>
      </c>
      <c r="M115" s="474">
        <f t="shared" si="70"/>
        <v>0</v>
      </c>
      <c r="N115" s="492"/>
    </row>
    <row r="116" spans="1:14" ht="24">
      <c r="A116" s="489">
        <v>1.1399999999999999</v>
      </c>
      <c r="B116" s="508" t="s">
        <v>439</v>
      </c>
      <c r="C116" s="469">
        <v>1</v>
      </c>
      <c r="D116" s="479" t="s">
        <v>427</v>
      </c>
      <c r="E116" s="488">
        <v>34155</v>
      </c>
      <c r="F116" s="488">
        <v>34155</v>
      </c>
      <c r="G116" s="460">
        <v>0</v>
      </c>
      <c r="H116" s="472"/>
      <c r="I116" s="472">
        <f t="shared" si="66"/>
        <v>0</v>
      </c>
      <c r="J116" s="473">
        <f t="shared" si="67"/>
        <v>0</v>
      </c>
      <c r="K116" s="474">
        <f t="shared" si="68"/>
        <v>0</v>
      </c>
      <c r="L116" s="474">
        <f t="shared" si="69"/>
        <v>0</v>
      </c>
      <c r="M116" s="474">
        <f t="shared" si="70"/>
        <v>0</v>
      </c>
      <c r="N116" s="466"/>
    </row>
    <row r="117" spans="1:14" s="446" customFormat="1" ht="12.75">
      <c r="A117" s="467">
        <v>1.1499999999999999</v>
      </c>
      <c r="B117" s="508" t="s">
        <v>440</v>
      </c>
      <c r="C117" s="469">
        <v>6</v>
      </c>
      <c r="D117" s="479" t="s">
        <v>427</v>
      </c>
      <c r="E117" s="488">
        <v>4158</v>
      </c>
      <c r="F117" s="488">
        <v>24948</v>
      </c>
      <c r="G117" s="460">
        <v>0</v>
      </c>
      <c r="H117" s="472"/>
      <c r="I117" s="472">
        <f t="shared" si="66"/>
        <v>0</v>
      </c>
      <c r="J117" s="473">
        <f t="shared" si="67"/>
        <v>0</v>
      </c>
      <c r="K117" s="474">
        <f t="shared" si="68"/>
        <v>0</v>
      </c>
      <c r="L117" s="474">
        <f t="shared" si="69"/>
        <v>0</v>
      </c>
      <c r="M117" s="474">
        <f t="shared" si="70"/>
        <v>0</v>
      </c>
      <c r="N117" s="475"/>
    </row>
    <row r="118" spans="1:14" s="446" customFormat="1" ht="12.75">
      <c r="A118" s="467">
        <v>1.1599999999999999</v>
      </c>
      <c r="B118" s="508" t="s">
        <v>441</v>
      </c>
      <c r="C118" s="469">
        <v>3</v>
      </c>
      <c r="D118" s="479" t="s">
        <v>427</v>
      </c>
      <c r="E118" s="488">
        <v>2277</v>
      </c>
      <c r="F118" s="488">
        <v>6831</v>
      </c>
      <c r="G118" s="460">
        <v>0</v>
      </c>
      <c r="H118" s="472"/>
      <c r="I118" s="472">
        <f t="shared" si="66"/>
        <v>0</v>
      </c>
      <c r="J118" s="473">
        <f t="shared" si="67"/>
        <v>0</v>
      </c>
      <c r="K118" s="474">
        <f t="shared" si="68"/>
        <v>0</v>
      </c>
      <c r="L118" s="474">
        <f t="shared" si="69"/>
        <v>0</v>
      </c>
      <c r="M118" s="474">
        <f t="shared" si="70"/>
        <v>0</v>
      </c>
      <c r="N118" s="475"/>
    </row>
    <row r="119" spans="1:14" s="446" customFormat="1" ht="12.75">
      <c r="A119" s="467">
        <v>1.17</v>
      </c>
      <c r="B119" s="508" t="s">
        <v>442</v>
      </c>
      <c r="C119" s="469">
        <v>6</v>
      </c>
      <c r="D119" s="479" t="s">
        <v>427</v>
      </c>
      <c r="E119" s="488">
        <v>118.8</v>
      </c>
      <c r="F119" s="488">
        <v>712.8</v>
      </c>
      <c r="G119" s="460">
        <v>0</v>
      </c>
      <c r="H119" s="472"/>
      <c r="I119" s="472">
        <f t="shared" si="66"/>
        <v>0</v>
      </c>
      <c r="J119" s="473">
        <f t="shared" si="67"/>
        <v>0</v>
      </c>
      <c r="K119" s="474">
        <f t="shared" si="68"/>
        <v>0</v>
      </c>
      <c r="L119" s="474">
        <f t="shared" si="69"/>
        <v>0</v>
      </c>
      <c r="M119" s="474">
        <f t="shared" si="70"/>
        <v>0</v>
      </c>
      <c r="N119" s="475"/>
    </row>
    <row r="120" spans="1:14" s="446" customFormat="1" ht="12.75">
      <c r="A120" s="467">
        <v>1.18</v>
      </c>
      <c r="B120" s="508" t="s">
        <v>443</v>
      </c>
      <c r="C120" s="469">
        <v>10</v>
      </c>
      <c r="D120" s="479" t="s">
        <v>88</v>
      </c>
      <c r="E120" s="488">
        <v>8008.4862000000003</v>
      </c>
      <c r="F120" s="488">
        <v>80084.86</v>
      </c>
      <c r="G120" s="460">
        <v>0</v>
      </c>
      <c r="H120" s="472"/>
      <c r="I120" s="472">
        <f t="shared" si="66"/>
        <v>0</v>
      </c>
      <c r="J120" s="473">
        <f t="shared" si="67"/>
        <v>0</v>
      </c>
      <c r="K120" s="474">
        <f t="shared" si="68"/>
        <v>0</v>
      </c>
      <c r="L120" s="474">
        <f t="shared" si="69"/>
        <v>0</v>
      </c>
      <c r="M120" s="474">
        <f t="shared" si="70"/>
        <v>0</v>
      </c>
      <c r="N120" s="475"/>
    </row>
    <row r="121" spans="1:14" s="446" customFormat="1" ht="12.75">
      <c r="A121" s="467">
        <v>1.19</v>
      </c>
      <c r="B121" s="508" t="s">
        <v>444</v>
      </c>
      <c r="C121" s="469">
        <v>1</v>
      </c>
      <c r="D121" s="479" t="s">
        <v>427</v>
      </c>
      <c r="E121" s="488">
        <v>693</v>
      </c>
      <c r="F121" s="488">
        <v>693</v>
      </c>
      <c r="G121" s="460">
        <v>0</v>
      </c>
      <c r="H121" s="472"/>
      <c r="I121" s="472">
        <f t="shared" si="66"/>
        <v>0</v>
      </c>
      <c r="J121" s="473">
        <f t="shared" si="67"/>
        <v>0</v>
      </c>
      <c r="K121" s="474">
        <f t="shared" si="68"/>
        <v>0</v>
      </c>
      <c r="L121" s="474">
        <f t="shared" si="69"/>
        <v>0</v>
      </c>
      <c r="M121" s="474">
        <f t="shared" si="70"/>
        <v>0</v>
      </c>
      <c r="N121" s="475"/>
    </row>
    <row r="122" spans="1:14" s="446" customFormat="1" ht="12.75">
      <c r="A122" s="512">
        <v>1.2</v>
      </c>
      <c r="B122" s="508" t="s">
        <v>445</v>
      </c>
      <c r="C122" s="469">
        <v>40</v>
      </c>
      <c r="D122" s="479" t="s">
        <v>427</v>
      </c>
      <c r="E122" s="488">
        <v>89.1</v>
      </c>
      <c r="F122" s="488">
        <v>3564</v>
      </c>
      <c r="G122" s="460">
        <v>0</v>
      </c>
      <c r="H122" s="472"/>
      <c r="I122" s="472">
        <f t="shared" si="66"/>
        <v>0</v>
      </c>
      <c r="J122" s="473">
        <f t="shared" si="67"/>
        <v>0</v>
      </c>
      <c r="K122" s="474">
        <f t="shared" si="68"/>
        <v>0</v>
      </c>
      <c r="L122" s="474">
        <f t="shared" si="69"/>
        <v>0</v>
      </c>
      <c r="M122" s="474">
        <f t="shared" si="70"/>
        <v>0</v>
      </c>
      <c r="N122" s="475"/>
    </row>
    <row r="123" spans="1:14" s="446" customFormat="1" ht="12.75">
      <c r="A123" s="467">
        <v>1.21</v>
      </c>
      <c r="B123" s="508" t="s">
        <v>446</v>
      </c>
      <c r="C123" s="469">
        <v>2</v>
      </c>
      <c r="D123" s="479" t="s">
        <v>427</v>
      </c>
      <c r="E123" s="488">
        <v>4455</v>
      </c>
      <c r="F123" s="488">
        <v>8910</v>
      </c>
      <c r="G123" s="460">
        <v>0</v>
      </c>
      <c r="H123" s="472"/>
      <c r="I123" s="472">
        <f t="shared" si="66"/>
        <v>0</v>
      </c>
      <c r="J123" s="473">
        <f t="shared" si="67"/>
        <v>0</v>
      </c>
      <c r="K123" s="474">
        <f t="shared" si="68"/>
        <v>0</v>
      </c>
      <c r="L123" s="474">
        <f t="shared" si="69"/>
        <v>0</v>
      </c>
      <c r="M123" s="474">
        <f t="shared" si="70"/>
        <v>0</v>
      </c>
      <c r="N123" s="475"/>
    </row>
    <row r="124" spans="1:14" s="446" customFormat="1" ht="12.75">
      <c r="A124" s="467">
        <v>1.22</v>
      </c>
      <c r="B124" s="508" t="s">
        <v>447</v>
      </c>
      <c r="C124" s="469">
        <v>1</v>
      </c>
      <c r="D124" s="479" t="s">
        <v>427</v>
      </c>
      <c r="E124" s="488">
        <v>1485</v>
      </c>
      <c r="F124" s="488">
        <v>1485</v>
      </c>
      <c r="G124" s="460">
        <v>0</v>
      </c>
      <c r="H124" s="472"/>
      <c r="I124" s="472">
        <f t="shared" si="66"/>
        <v>0</v>
      </c>
      <c r="J124" s="473">
        <f t="shared" si="67"/>
        <v>0</v>
      </c>
      <c r="K124" s="474">
        <f t="shared" si="68"/>
        <v>0</v>
      </c>
      <c r="L124" s="474">
        <f t="shared" si="69"/>
        <v>0</v>
      </c>
      <c r="M124" s="474">
        <f t="shared" si="70"/>
        <v>0</v>
      </c>
      <c r="N124" s="475"/>
    </row>
    <row r="125" spans="1:14" s="446" customFormat="1" ht="12.75">
      <c r="A125" s="467">
        <v>1.23</v>
      </c>
      <c r="B125" s="508" t="s">
        <v>448</v>
      </c>
      <c r="C125" s="469">
        <v>2</v>
      </c>
      <c r="D125" s="479" t="s">
        <v>427</v>
      </c>
      <c r="E125" s="488">
        <v>1188</v>
      </c>
      <c r="F125" s="488">
        <v>2376</v>
      </c>
      <c r="G125" s="460">
        <v>0</v>
      </c>
      <c r="H125" s="472"/>
      <c r="I125" s="472">
        <f t="shared" si="66"/>
        <v>0</v>
      </c>
      <c r="J125" s="473">
        <f t="shared" si="67"/>
        <v>0</v>
      </c>
      <c r="K125" s="474">
        <f t="shared" si="68"/>
        <v>0</v>
      </c>
      <c r="L125" s="474">
        <f t="shared" si="69"/>
        <v>0</v>
      </c>
      <c r="M125" s="474">
        <f t="shared" si="70"/>
        <v>0</v>
      </c>
      <c r="N125" s="475"/>
    </row>
    <row r="126" spans="1:14" s="446" customFormat="1" ht="12.75">
      <c r="A126" s="467">
        <v>1.24</v>
      </c>
      <c r="B126" s="508" t="s">
        <v>449</v>
      </c>
      <c r="C126" s="469">
        <v>21.6</v>
      </c>
      <c r="D126" s="479" t="s">
        <v>38</v>
      </c>
      <c r="E126" s="488">
        <v>321.75</v>
      </c>
      <c r="F126" s="488">
        <v>6949.8</v>
      </c>
      <c r="G126" s="460">
        <v>0</v>
      </c>
      <c r="H126" s="472"/>
      <c r="I126" s="472">
        <f t="shared" si="66"/>
        <v>0</v>
      </c>
      <c r="J126" s="473">
        <f t="shared" si="67"/>
        <v>0</v>
      </c>
      <c r="K126" s="474">
        <f t="shared" si="68"/>
        <v>0</v>
      </c>
      <c r="L126" s="474">
        <f t="shared" si="69"/>
        <v>0</v>
      </c>
      <c r="M126" s="474">
        <f t="shared" si="70"/>
        <v>0</v>
      </c>
      <c r="N126" s="475"/>
    </row>
    <row r="127" spans="1:14" s="446" customFormat="1" ht="12.75">
      <c r="A127" s="467">
        <v>1.25</v>
      </c>
      <c r="B127" s="508" t="s">
        <v>450</v>
      </c>
      <c r="C127" s="469">
        <v>28</v>
      </c>
      <c r="D127" s="479" t="s">
        <v>38</v>
      </c>
      <c r="E127" s="488">
        <v>173.25</v>
      </c>
      <c r="F127" s="488">
        <v>4851</v>
      </c>
      <c r="G127" s="460">
        <v>0</v>
      </c>
      <c r="H127" s="472"/>
      <c r="I127" s="472">
        <f t="shared" si="66"/>
        <v>0</v>
      </c>
      <c r="J127" s="473">
        <f t="shared" si="67"/>
        <v>0</v>
      </c>
      <c r="K127" s="474">
        <f t="shared" si="68"/>
        <v>0</v>
      </c>
      <c r="L127" s="474">
        <f t="shared" si="69"/>
        <v>0</v>
      </c>
      <c r="M127" s="474">
        <f t="shared" si="70"/>
        <v>0</v>
      </c>
      <c r="N127" s="475"/>
    </row>
    <row r="128" spans="1:14" s="446" customFormat="1" ht="12.75">
      <c r="A128" s="467">
        <v>1.26</v>
      </c>
      <c r="B128" s="508" t="s">
        <v>451</v>
      </c>
      <c r="C128" s="469">
        <v>16</v>
      </c>
      <c r="D128" s="479" t="s">
        <v>427</v>
      </c>
      <c r="E128" s="488">
        <v>693</v>
      </c>
      <c r="F128" s="488">
        <v>11088</v>
      </c>
      <c r="G128" s="460">
        <v>0</v>
      </c>
      <c r="H128" s="472"/>
      <c r="I128" s="472">
        <f t="shared" si="66"/>
        <v>0</v>
      </c>
      <c r="J128" s="473">
        <f t="shared" si="67"/>
        <v>0</v>
      </c>
      <c r="K128" s="474">
        <f t="shared" si="68"/>
        <v>0</v>
      </c>
      <c r="L128" s="474">
        <f t="shared" si="69"/>
        <v>0</v>
      </c>
      <c r="M128" s="474">
        <f t="shared" si="70"/>
        <v>0</v>
      </c>
      <c r="N128" s="475"/>
    </row>
    <row r="129" spans="1:14" s="446" customFormat="1" ht="12.75">
      <c r="A129" s="467">
        <v>1.27</v>
      </c>
      <c r="B129" s="508" t="s">
        <v>452</v>
      </c>
      <c r="C129" s="469">
        <v>3</v>
      </c>
      <c r="D129" s="479" t="s">
        <v>427</v>
      </c>
      <c r="E129" s="488">
        <v>34.65</v>
      </c>
      <c r="F129" s="488">
        <v>103.95</v>
      </c>
      <c r="G129" s="460">
        <v>0</v>
      </c>
      <c r="H129" s="472"/>
      <c r="I129" s="472">
        <f t="shared" si="66"/>
        <v>0</v>
      </c>
      <c r="J129" s="473">
        <f t="shared" si="67"/>
        <v>0</v>
      </c>
      <c r="K129" s="474">
        <f t="shared" si="68"/>
        <v>0</v>
      </c>
      <c r="L129" s="474">
        <f t="shared" si="69"/>
        <v>0</v>
      </c>
      <c r="M129" s="474">
        <f t="shared" si="70"/>
        <v>0</v>
      </c>
      <c r="N129" s="475"/>
    </row>
    <row r="130" spans="1:14" s="446" customFormat="1" ht="12.75">
      <c r="A130" s="467">
        <v>1.28</v>
      </c>
      <c r="B130" s="508" t="s">
        <v>453</v>
      </c>
      <c r="C130" s="469">
        <v>13</v>
      </c>
      <c r="D130" s="479" t="s">
        <v>50</v>
      </c>
      <c r="E130" s="488">
        <v>1485</v>
      </c>
      <c r="F130" s="488">
        <v>19305</v>
      </c>
      <c r="G130" s="460">
        <v>0</v>
      </c>
      <c r="H130" s="472"/>
      <c r="I130" s="472">
        <f t="shared" si="66"/>
        <v>0</v>
      </c>
      <c r="J130" s="473">
        <f t="shared" si="67"/>
        <v>0</v>
      </c>
      <c r="K130" s="474">
        <f t="shared" si="68"/>
        <v>0</v>
      </c>
      <c r="L130" s="474">
        <f t="shared" si="69"/>
        <v>0</v>
      </c>
      <c r="M130" s="474">
        <f t="shared" si="70"/>
        <v>0</v>
      </c>
      <c r="N130" s="475"/>
    </row>
    <row r="131" spans="1:14" s="446" customFormat="1" ht="12.75">
      <c r="A131" s="467">
        <v>1.29</v>
      </c>
      <c r="B131" s="508" t="s">
        <v>454</v>
      </c>
      <c r="C131" s="469">
        <v>1</v>
      </c>
      <c r="D131" s="479" t="s">
        <v>455</v>
      </c>
      <c r="E131" s="488">
        <v>4455</v>
      </c>
      <c r="F131" s="488">
        <v>4455</v>
      </c>
      <c r="G131" s="460">
        <v>0</v>
      </c>
      <c r="H131" s="472"/>
      <c r="I131" s="472">
        <f t="shared" si="66"/>
        <v>0</v>
      </c>
      <c r="J131" s="473">
        <f t="shared" si="67"/>
        <v>0</v>
      </c>
      <c r="K131" s="474">
        <f t="shared" si="68"/>
        <v>0</v>
      </c>
      <c r="L131" s="474">
        <f t="shared" si="69"/>
        <v>0</v>
      </c>
      <c r="M131" s="474">
        <f t="shared" si="70"/>
        <v>0</v>
      </c>
      <c r="N131" s="475"/>
    </row>
    <row r="132" spans="1:14" s="446" customFormat="1" ht="12.75">
      <c r="A132" s="512">
        <v>1.3</v>
      </c>
      <c r="B132" s="508" t="s">
        <v>456</v>
      </c>
      <c r="C132" s="469">
        <v>1</v>
      </c>
      <c r="D132" s="479" t="s">
        <v>455</v>
      </c>
      <c r="E132" s="488">
        <v>231660</v>
      </c>
      <c r="F132" s="488">
        <v>231660</v>
      </c>
      <c r="G132" s="460">
        <v>0</v>
      </c>
      <c r="H132" s="472"/>
      <c r="I132" s="472">
        <f t="shared" si="66"/>
        <v>0</v>
      </c>
      <c r="J132" s="473">
        <f t="shared" si="67"/>
        <v>0</v>
      </c>
      <c r="K132" s="474">
        <f t="shared" si="68"/>
        <v>0</v>
      </c>
      <c r="L132" s="474">
        <f t="shared" si="69"/>
        <v>0</v>
      </c>
      <c r="M132" s="474">
        <f t="shared" si="70"/>
        <v>0</v>
      </c>
      <c r="N132" s="475"/>
    </row>
    <row r="133" spans="1:14">
      <c r="A133" s="520">
        <v>2</v>
      </c>
      <c r="B133" s="506" t="s">
        <v>457</v>
      </c>
      <c r="C133" s="507"/>
      <c r="D133" s="497"/>
      <c r="E133" s="498"/>
      <c r="F133" s="481"/>
      <c r="G133" s="504"/>
      <c r="H133" s="463"/>
      <c r="I133" s="499"/>
      <c r="J133" s="463"/>
      <c r="K133" s="464"/>
      <c r="L133" s="484"/>
      <c r="M133" s="464"/>
      <c r="N133" s="466"/>
    </row>
    <row r="134" spans="1:14" s="446" customFormat="1" ht="24">
      <c r="A134" s="512">
        <v>2.0099999999999998</v>
      </c>
      <c r="B134" s="508" t="s">
        <v>458</v>
      </c>
      <c r="C134" s="469">
        <v>1</v>
      </c>
      <c r="D134" s="479" t="s">
        <v>50</v>
      </c>
      <c r="E134" s="488">
        <v>696200</v>
      </c>
      <c r="F134" s="488">
        <v>696200</v>
      </c>
      <c r="G134" s="460">
        <v>0</v>
      </c>
      <c r="H134" s="472">
        <v>0</v>
      </c>
      <c r="I134" s="472">
        <f t="shared" ref="I134:I148" si="71">G134+H134</f>
        <v>0</v>
      </c>
      <c r="J134" s="473">
        <f t="shared" ref="J134:J148" si="72">I134/C134</f>
        <v>0</v>
      </c>
      <c r="K134" s="474">
        <f t="shared" ref="K134:K148" si="73">G134*E134</f>
        <v>0</v>
      </c>
      <c r="L134" s="474">
        <f t="shared" ref="L134:L148" si="74">H134*E134</f>
        <v>0</v>
      </c>
      <c r="M134" s="474">
        <f t="shared" ref="M134:M148" si="75">K134+L134</f>
        <v>0</v>
      </c>
      <c r="N134" s="475"/>
    </row>
    <row r="135" spans="1:14">
      <c r="A135" s="512">
        <v>2.02</v>
      </c>
      <c r="B135" s="508" t="s">
        <v>459</v>
      </c>
      <c r="C135" s="469">
        <v>4</v>
      </c>
      <c r="D135" s="479" t="s">
        <v>427</v>
      </c>
      <c r="E135" s="488">
        <v>6064.04</v>
      </c>
      <c r="F135" s="488">
        <v>24256.16</v>
      </c>
      <c r="G135" s="504">
        <v>0</v>
      </c>
      <c r="H135" s="472"/>
      <c r="I135" s="472">
        <f t="shared" si="71"/>
        <v>0</v>
      </c>
      <c r="J135" s="473">
        <f t="shared" si="72"/>
        <v>0</v>
      </c>
      <c r="K135" s="474">
        <f t="shared" si="73"/>
        <v>0</v>
      </c>
      <c r="L135" s="474">
        <f t="shared" si="74"/>
        <v>0</v>
      </c>
      <c r="M135" s="474">
        <f t="shared" si="75"/>
        <v>0</v>
      </c>
      <c r="N135" s="466"/>
    </row>
    <row r="136" spans="1:14" s="446" customFormat="1" ht="12.75">
      <c r="A136" s="512">
        <v>2.0299999999999998</v>
      </c>
      <c r="B136" s="508" t="s">
        <v>460</v>
      </c>
      <c r="C136" s="469">
        <v>2</v>
      </c>
      <c r="D136" s="479" t="s">
        <v>427</v>
      </c>
      <c r="E136" s="488">
        <v>3133.65</v>
      </c>
      <c r="F136" s="488">
        <v>6267.3</v>
      </c>
      <c r="G136" s="504">
        <v>0</v>
      </c>
      <c r="H136" s="472"/>
      <c r="I136" s="472">
        <f t="shared" si="71"/>
        <v>0</v>
      </c>
      <c r="J136" s="473">
        <f t="shared" si="72"/>
        <v>0</v>
      </c>
      <c r="K136" s="474">
        <f t="shared" si="73"/>
        <v>0</v>
      </c>
      <c r="L136" s="474">
        <f t="shared" si="74"/>
        <v>0</v>
      </c>
      <c r="M136" s="474">
        <f t="shared" si="75"/>
        <v>0</v>
      </c>
      <c r="N136" s="475"/>
    </row>
    <row r="137" spans="1:14" s="446" customFormat="1" ht="24">
      <c r="A137" s="512">
        <v>2.04</v>
      </c>
      <c r="B137" s="508" t="s">
        <v>461</v>
      </c>
      <c r="C137" s="469">
        <v>1</v>
      </c>
      <c r="D137" s="479" t="s">
        <v>427</v>
      </c>
      <c r="E137" s="488">
        <v>99488.31</v>
      </c>
      <c r="F137" s="488">
        <v>99488.31</v>
      </c>
      <c r="G137" s="504">
        <v>0</v>
      </c>
      <c r="H137" s="472"/>
      <c r="I137" s="472">
        <f t="shared" si="71"/>
        <v>0</v>
      </c>
      <c r="J137" s="473">
        <f t="shared" si="72"/>
        <v>0</v>
      </c>
      <c r="K137" s="474">
        <f t="shared" si="73"/>
        <v>0</v>
      </c>
      <c r="L137" s="474">
        <f t="shared" si="74"/>
        <v>0</v>
      </c>
      <c r="M137" s="474">
        <f t="shared" si="75"/>
        <v>0</v>
      </c>
      <c r="N137" s="475"/>
    </row>
    <row r="138" spans="1:14" s="446" customFormat="1" ht="12.75">
      <c r="A138" s="512">
        <v>2.0499999999999998</v>
      </c>
      <c r="B138" s="508" t="s">
        <v>462</v>
      </c>
      <c r="C138" s="469">
        <v>1</v>
      </c>
      <c r="D138" s="479" t="s">
        <v>427</v>
      </c>
      <c r="E138" s="488">
        <v>25932.58</v>
      </c>
      <c r="F138" s="488">
        <v>25932.58</v>
      </c>
      <c r="G138" s="460">
        <v>0</v>
      </c>
      <c r="H138" s="472"/>
      <c r="I138" s="472">
        <f t="shared" si="71"/>
        <v>0</v>
      </c>
      <c r="J138" s="473">
        <f t="shared" si="72"/>
        <v>0</v>
      </c>
      <c r="K138" s="474">
        <f t="shared" si="73"/>
        <v>0</v>
      </c>
      <c r="L138" s="474">
        <f t="shared" si="74"/>
        <v>0</v>
      </c>
      <c r="M138" s="474">
        <f t="shared" si="75"/>
        <v>0</v>
      </c>
      <c r="N138" s="475"/>
    </row>
    <row r="139" spans="1:14" s="446" customFormat="1" ht="12.75">
      <c r="A139" s="512">
        <v>2.06</v>
      </c>
      <c r="B139" s="508" t="s">
        <v>463</v>
      </c>
      <c r="C139" s="469">
        <v>1</v>
      </c>
      <c r="D139" s="479" t="s">
        <v>427</v>
      </c>
      <c r="E139" s="488">
        <v>99488.31</v>
      </c>
      <c r="F139" s="488">
        <v>99488.31</v>
      </c>
      <c r="G139" s="460">
        <v>0</v>
      </c>
      <c r="H139" s="472"/>
      <c r="I139" s="472">
        <f t="shared" si="71"/>
        <v>0</v>
      </c>
      <c r="J139" s="473">
        <f t="shared" si="72"/>
        <v>0</v>
      </c>
      <c r="K139" s="474">
        <f t="shared" si="73"/>
        <v>0</v>
      </c>
      <c r="L139" s="474">
        <f t="shared" si="74"/>
        <v>0</v>
      </c>
      <c r="M139" s="474">
        <f t="shared" si="75"/>
        <v>0</v>
      </c>
      <c r="N139" s="475"/>
    </row>
    <row r="140" spans="1:14" s="446" customFormat="1" ht="12.75">
      <c r="A140" s="467">
        <v>2.0699999999999998</v>
      </c>
      <c r="B140" s="508" t="s">
        <v>464</v>
      </c>
      <c r="C140" s="469">
        <v>40</v>
      </c>
      <c r="D140" s="479" t="s">
        <v>427</v>
      </c>
      <c r="E140" s="505">
        <v>222.75</v>
      </c>
      <c r="F140" s="505">
        <v>8910</v>
      </c>
      <c r="G140" s="460">
        <v>0</v>
      </c>
      <c r="H140" s="472"/>
      <c r="I140" s="472">
        <f t="shared" si="71"/>
        <v>0</v>
      </c>
      <c r="J140" s="473">
        <f t="shared" si="72"/>
        <v>0</v>
      </c>
      <c r="K140" s="474">
        <f t="shared" si="73"/>
        <v>0</v>
      </c>
      <c r="L140" s="474">
        <f t="shared" si="74"/>
        <v>0</v>
      </c>
      <c r="M140" s="474">
        <f t="shared" si="75"/>
        <v>0</v>
      </c>
      <c r="N140" s="475"/>
    </row>
    <row r="141" spans="1:14" s="446" customFormat="1" ht="12.75">
      <c r="A141" s="467">
        <v>2.08</v>
      </c>
      <c r="B141" s="508" t="s">
        <v>465</v>
      </c>
      <c r="C141" s="469">
        <v>1</v>
      </c>
      <c r="D141" s="479" t="s">
        <v>427</v>
      </c>
      <c r="E141" s="505">
        <v>18058.169999999998</v>
      </c>
      <c r="F141" s="505">
        <v>18058.169999999998</v>
      </c>
      <c r="G141" s="460">
        <v>0</v>
      </c>
      <c r="H141" s="472"/>
      <c r="I141" s="472">
        <f t="shared" si="71"/>
        <v>0</v>
      </c>
      <c r="J141" s="473">
        <f t="shared" si="72"/>
        <v>0</v>
      </c>
      <c r="K141" s="474">
        <f t="shared" si="73"/>
        <v>0</v>
      </c>
      <c r="L141" s="474">
        <f t="shared" si="74"/>
        <v>0</v>
      </c>
      <c r="M141" s="474">
        <f t="shared" si="75"/>
        <v>0</v>
      </c>
      <c r="N141" s="475"/>
    </row>
    <row r="142" spans="1:14" s="446" customFormat="1" ht="24">
      <c r="A142" s="467">
        <v>2.09</v>
      </c>
      <c r="B142" s="508" t="s">
        <v>466</v>
      </c>
      <c r="C142" s="469">
        <v>1</v>
      </c>
      <c r="D142" s="479" t="s">
        <v>427</v>
      </c>
      <c r="E142" s="505">
        <v>11798.66</v>
      </c>
      <c r="F142" s="505">
        <v>11798.66</v>
      </c>
      <c r="G142" s="460">
        <v>0</v>
      </c>
      <c r="H142" s="472"/>
      <c r="I142" s="472">
        <f t="shared" si="71"/>
        <v>0</v>
      </c>
      <c r="J142" s="473">
        <f t="shared" si="72"/>
        <v>0</v>
      </c>
      <c r="K142" s="474">
        <f t="shared" si="73"/>
        <v>0</v>
      </c>
      <c r="L142" s="474">
        <f t="shared" si="74"/>
        <v>0</v>
      </c>
      <c r="M142" s="474">
        <f t="shared" si="75"/>
        <v>0</v>
      </c>
      <c r="N142" s="475"/>
    </row>
    <row r="143" spans="1:14" s="446" customFormat="1" ht="12.75">
      <c r="A143" s="512">
        <v>2.1</v>
      </c>
      <c r="B143" s="508" t="s">
        <v>467</v>
      </c>
      <c r="C143" s="469">
        <v>2</v>
      </c>
      <c r="D143" s="479" t="s">
        <v>427</v>
      </c>
      <c r="E143" s="505">
        <v>29658.687896199997</v>
      </c>
      <c r="F143" s="505">
        <v>59317.38</v>
      </c>
      <c r="G143" s="460">
        <v>0</v>
      </c>
      <c r="H143" s="472"/>
      <c r="I143" s="472">
        <f t="shared" si="71"/>
        <v>0</v>
      </c>
      <c r="J143" s="473">
        <f t="shared" si="72"/>
        <v>0</v>
      </c>
      <c r="K143" s="474">
        <f t="shared" si="73"/>
        <v>0</v>
      </c>
      <c r="L143" s="474">
        <f t="shared" si="74"/>
        <v>0</v>
      </c>
      <c r="M143" s="474">
        <f t="shared" si="75"/>
        <v>0</v>
      </c>
      <c r="N143" s="475"/>
    </row>
    <row r="144" spans="1:14" s="446" customFormat="1" ht="12.75">
      <c r="A144" s="467">
        <v>2.11</v>
      </c>
      <c r="B144" s="508" t="s">
        <v>468</v>
      </c>
      <c r="C144" s="469">
        <v>8</v>
      </c>
      <c r="D144" s="479" t="s">
        <v>427</v>
      </c>
      <c r="E144" s="505">
        <v>148.5</v>
      </c>
      <c r="F144" s="505">
        <v>1188</v>
      </c>
      <c r="G144" s="460">
        <v>0</v>
      </c>
      <c r="H144" s="472"/>
      <c r="I144" s="472">
        <f t="shared" si="71"/>
        <v>0</v>
      </c>
      <c r="J144" s="473">
        <f t="shared" si="72"/>
        <v>0</v>
      </c>
      <c r="K144" s="474">
        <f t="shared" si="73"/>
        <v>0</v>
      </c>
      <c r="L144" s="474">
        <f t="shared" si="74"/>
        <v>0</v>
      </c>
      <c r="M144" s="474">
        <f t="shared" si="75"/>
        <v>0</v>
      </c>
      <c r="N144" s="475"/>
    </row>
    <row r="145" spans="1:14" s="446" customFormat="1" ht="24">
      <c r="A145" s="467">
        <v>2.12</v>
      </c>
      <c r="B145" s="508" t="s">
        <v>469</v>
      </c>
      <c r="C145" s="469">
        <v>0.5</v>
      </c>
      <c r="D145" s="479" t="s">
        <v>427</v>
      </c>
      <c r="E145" s="505">
        <v>6283.1762811999997</v>
      </c>
      <c r="F145" s="505">
        <v>3141.59</v>
      </c>
      <c r="G145" s="460">
        <v>0</v>
      </c>
      <c r="H145" s="472"/>
      <c r="I145" s="472">
        <f t="shared" si="71"/>
        <v>0</v>
      </c>
      <c r="J145" s="473">
        <f t="shared" si="72"/>
        <v>0</v>
      </c>
      <c r="K145" s="474">
        <f t="shared" si="73"/>
        <v>0</v>
      </c>
      <c r="L145" s="474">
        <f t="shared" si="74"/>
        <v>0</v>
      </c>
      <c r="M145" s="474">
        <f t="shared" si="75"/>
        <v>0</v>
      </c>
      <c r="N145" s="475"/>
    </row>
    <row r="146" spans="1:14" s="446" customFormat="1" ht="12.75">
      <c r="A146" s="467">
        <v>2.13</v>
      </c>
      <c r="B146" s="508" t="s">
        <v>470</v>
      </c>
      <c r="C146" s="469">
        <v>1</v>
      </c>
      <c r="D146" s="479" t="s">
        <v>427</v>
      </c>
      <c r="E146" s="505">
        <v>2772</v>
      </c>
      <c r="F146" s="505">
        <v>2772</v>
      </c>
      <c r="G146" s="460">
        <v>0</v>
      </c>
      <c r="H146" s="472"/>
      <c r="I146" s="472">
        <f t="shared" si="71"/>
        <v>0</v>
      </c>
      <c r="J146" s="473">
        <f t="shared" si="72"/>
        <v>0</v>
      </c>
      <c r="K146" s="474">
        <f t="shared" si="73"/>
        <v>0</v>
      </c>
      <c r="L146" s="474">
        <f t="shared" si="74"/>
        <v>0</v>
      </c>
      <c r="M146" s="474">
        <f t="shared" si="75"/>
        <v>0</v>
      </c>
      <c r="N146" s="475"/>
    </row>
    <row r="147" spans="1:14" s="446" customFormat="1" ht="12.75">
      <c r="A147" s="467">
        <v>2.14</v>
      </c>
      <c r="B147" s="508" t="s">
        <v>456</v>
      </c>
      <c r="C147" s="469">
        <v>1</v>
      </c>
      <c r="D147" s="479" t="s">
        <v>88</v>
      </c>
      <c r="E147" s="505">
        <v>222750</v>
      </c>
      <c r="F147" s="505">
        <v>222750</v>
      </c>
      <c r="G147" s="460">
        <v>0</v>
      </c>
      <c r="H147" s="472"/>
      <c r="I147" s="472">
        <f t="shared" si="71"/>
        <v>0</v>
      </c>
      <c r="J147" s="473">
        <f t="shared" si="72"/>
        <v>0</v>
      </c>
      <c r="K147" s="474">
        <f t="shared" si="73"/>
        <v>0</v>
      </c>
      <c r="L147" s="474">
        <f t="shared" si="74"/>
        <v>0</v>
      </c>
      <c r="M147" s="474">
        <f t="shared" si="75"/>
        <v>0</v>
      </c>
      <c r="N147" s="475"/>
    </row>
    <row r="148" spans="1:14" s="446" customFormat="1" ht="12.75">
      <c r="A148" s="467">
        <v>2.15</v>
      </c>
      <c r="B148" s="508" t="s">
        <v>471</v>
      </c>
      <c r="C148" s="469">
        <v>200</v>
      </c>
      <c r="D148" s="479" t="s">
        <v>432</v>
      </c>
      <c r="E148" s="505">
        <v>338.91660000000002</v>
      </c>
      <c r="F148" s="505">
        <v>67783.320000000007</v>
      </c>
      <c r="G148" s="460">
        <v>0</v>
      </c>
      <c r="H148" s="472"/>
      <c r="I148" s="472">
        <f t="shared" si="71"/>
        <v>0</v>
      </c>
      <c r="J148" s="473">
        <f t="shared" si="72"/>
        <v>0</v>
      </c>
      <c r="K148" s="474">
        <f t="shared" si="73"/>
        <v>0</v>
      </c>
      <c r="L148" s="474">
        <f t="shared" si="74"/>
        <v>0</v>
      </c>
      <c r="M148" s="474">
        <f t="shared" si="75"/>
        <v>0</v>
      </c>
      <c r="N148" s="475"/>
    </row>
    <row r="149" spans="1:14">
      <c r="A149" s="476">
        <v>3</v>
      </c>
      <c r="B149" s="506" t="s">
        <v>472</v>
      </c>
      <c r="C149" s="507"/>
      <c r="D149" s="497"/>
      <c r="E149" s="498"/>
      <c r="F149" s="498"/>
      <c r="G149" s="460"/>
      <c r="H149" s="463"/>
      <c r="I149" s="521"/>
      <c r="J149" s="463"/>
      <c r="K149" s="522"/>
      <c r="L149" s="465"/>
      <c r="M149" s="465"/>
      <c r="N149" s="466"/>
    </row>
    <row r="150" spans="1:14" s="446" customFormat="1" ht="24">
      <c r="A150" s="467">
        <v>3.01</v>
      </c>
      <c r="B150" s="508" t="s">
        <v>473</v>
      </c>
      <c r="C150" s="469">
        <v>1</v>
      </c>
      <c r="D150" s="479" t="s">
        <v>50</v>
      </c>
      <c r="E150" s="505">
        <v>383500</v>
      </c>
      <c r="F150" s="505">
        <v>383500</v>
      </c>
      <c r="G150" s="460">
        <v>0</v>
      </c>
      <c r="H150" s="472">
        <v>1</v>
      </c>
      <c r="I150" s="472">
        <f t="shared" ref="I150:I164" si="76">G150+H150</f>
        <v>1</v>
      </c>
      <c r="J150" s="473">
        <f t="shared" ref="J150:J164" si="77">I150/C150</f>
        <v>1</v>
      </c>
      <c r="K150" s="474">
        <f t="shared" ref="K150:K164" si="78">G150*E150</f>
        <v>0</v>
      </c>
      <c r="L150" s="474">
        <f t="shared" ref="L150:L164" si="79">H150*E150</f>
        <v>383500</v>
      </c>
      <c r="M150" s="474">
        <f t="shared" ref="M150:M165" si="80">K150+L150</f>
        <v>383500</v>
      </c>
      <c r="N150" s="475"/>
    </row>
    <row r="151" spans="1:14" s="446" customFormat="1" ht="12.75">
      <c r="A151" s="467">
        <v>3.02</v>
      </c>
      <c r="B151" s="508" t="s">
        <v>474</v>
      </c>
      <c r="C151" s="469">
        <v>4</v>
      </c>
      <c r="D151" s="479" t="s">
        <v>427</v>
      </c>
      <c r="E151" s="505">
        <v>5485.84</v>
      </c>
      <c r="F151" s="505">
        <v>21943.360000000001</v>
      </c>
      <c r="G151" s="460">
        <v>0</v>
      </c>
      <c r="H151" s="472"/>
      <c r="I151" s="472">
        <f t="shared" si="76"/>
        <v>0</v>
      </c>
      <c r="J151" s="473">
        <f t="shared" si="77"/>
        <v>0</v>
      </c>
      <c r="K151" s="474">
        <f t="shared" si="78"/>
        <v>0</v>
      </c>
      <c r="L151" s="474">
        <f t="shared" si="79"/>
        <v>0</v>
      </c>
      <c r="M151" s="474">
        <f t="shared" si="80"/>
        <v>0</v>
      </c>
      <c r="N151" s="475"/>
    </row>
    <row r="152" spans="1:14" s="446" customFormat="1" ht="12.75">
      <c r="A152" s="467">
        <v>3.03</v>
      </c>
      <c r="B152" s="508" t="s">
        <v>460</v>
      </c>
      <c r="C152" s="469">
        <v>2</v>
      </c>
      <c r="D152" s="479" t="s">
        <v>427</v>
      </c>
      <c r="E152" s="505">
        <v>3133.65</v>
      </c>
      <c r="F152" s="505">
        <v>6267.3</v>
      </c>
      <c r="G152" s="460">
        <v>0</v>
      </c>
      <c r="H152" s="472"/>
      <c r="I152" s="472">
        <f t="shared" si="76"/>
        <v>0</v>
      </c>
      <c r="J152" s="473">
        <f t="shared" si="77"/>
        <v>0</v>
      </c>
      <c r="K152" s="474">
        <f t="shared" si="78"/>
        <v>0</v>
      </c>
      <c r="L152" s="474">
        <f t="shared" si="79"/>
        <v>0</v>
      </c>
      <c r="M152" s="474">
        <f t="shared" si="80"/>
        <v>0</v>
      </c>
      <c r="N152" s="475"/>
    </row>
    <row r="153" spans="1:14" s="446" customFormat="1" ht="24">
      <c r="A153" s="467">
        <v>3.04</v>
      </c>
      <c r="B153" s="508" t="s">
        <v>475</v>
      </c>
      <c r="C153" s="469">
        <v>1</v>
      </c>
      <c r="D153" s="479" t="s">
        <v>427</v>
      </c>
      <c r="E153" s="505">
        <v>54081.440000000002</v>
      </c>
      <c r="F153" s="505">
        <v>54081.440000000002</v>
      </c>
      <c r="G153" s="460">
        <v>0</v>
      </c>
      <c r="H153" s="472"/>
      <c r="I153" s="472">
        <f t="shared" si="76"/>
        <v>0</v>
      </c>
      <c r="J153" s="473">
        <f t="shared" si="77"/>
        <v>0</v>
      </c>
      <c r="K153" s="474">
        <f t="shared" si="78"/>
        <v>0</v>
      </c>
      <c r="L153" s="474">
        <f t="shared" si="79"/>
        <v>0</v>
      </c>
      <c r="M153" s="474">
        <f t="shared" si="80"/>
        <v>0</v>
      </c>
      <c r="N153" s="475"/>
    </row>
    <row r="154" spans="1:14" s="446" customFormat="1" ht="12.75">
      <c r="A154" s="467">
        <v>3.05</v>
      </c>
      <c r="B154" s="508" t="s">
        <v>462</v>
      </c>
      <c r="C154" s="469">
        <v>1</v>
      </c>
      <c r="D154" s="479" t="s">
        <v>427</v>
      </c>
      <c r="E154" s="505">
        <v>25932.58</v>
      </c>
      <c r="F154" s="505">
        <v>25932.58</v>
      </c>
      <c r="G154" s="463">
        <v>0</v>
      </c>
      <c r="H154" s="472"/>
      <c r="I154" s="472">
        <f t="shared" si="76"/>
        <v>0</v>
      </c>
      <c r="J154" s="473">
        <f t="shared" si="77"/>
        <v>0</v>
      </c>
      <c r="K154" s="474">
        <f t="shared" si="78"/>
        <v>0</v>
      </c>
      <c r="L154" s="474">
        <f t="shared" si="79"/>
        <v>0</v>
      </c>
      <c r="M154" s="474">
        <f t="shared" si="80"/>
        <v>0</v>
      </c>
      <c r="N154" s="475"/>
    </row>
    <row r="155" spans="1:14" s="446" customFormat="1" ht="12.75">
      <c r="A155" s="467">
        <v>3.06</v>
      </c>
      <c r="B155" s="508" t="s">
        <v>476</v>
      </c>
      <c r="C155" s="469">
        <v>1</v>
      </c>
      <c r="D155" s="479" t="s">
        <v>427</v>
      </c>
      <c r="E155" s="505">
        <v>49951.44</v>
      </c>
      <c r="F155" s="505">
        <v>49951.44</v>
      </c>
      <c r="G155" s="463">
        <v>0</v>
      </c>
      <c r="H155" s="472"/>
      <c r="I155" s="472">
        <f t="shared" si="76"/>
        <v>0</v>
      </c>
      <c r="J155" s="473">
        <f t="shared" si="77"/>
        <v>0</v>
      </c>
      <c r="K155" s="474">
        <f t="shared" si="78"/>
        <v>0</v>
      </c>
      <c r="L155" s="474">
        <f t="shared" si="79"/>
        <v>0</v>
      </c>
      <c r="M155" s="474">
        <f t="shared" si="80"/>
        <v>0</v>
      </c>
      <c r="N155" s="475"/>
    </row>
    <row r="156" spans="1:14" s="446" customFormat="1" ht="12.75">
      <c r="A156" s="467">
        <v>3.07</v>
      </c>
      <c r="B156" s="508" t="s">
        <v>464</v>
      </c>
      <c r="C156" s="469">
        <v>40</v>
      </c>
      <c r="D156" s="479" t="s">
        <v>427</v>
      </c>
      <c r="E156" s="523">
        <v>222.75</v>
      </c>
      <c r="F156" s="488">
        <v>8910</v>
      </c>
      <c r="G156" s="463">
        <v>0</v>
      </c>
      <c r="H156" s="472"/>
      <c r="I156" s="472">
        <f t="shared" si="76"/>
        <v>0</v>
      </c>
      <c r="J156" s="473">
        <f t="shared" si="77"/>
        <v>0</v>
      </c>
      <c r="K156" s="474">
        <f t="shared" si="78"/>
        <v>0</v>
      </c>
      <c r="L156" s="474">
        <f t="shared" si="79"/>
        <v>0</v>
      </c>
      <c r="M156" s="474">
        <f t="shared" si="80"/>
        <v>0</v>
      </c>
      <c r="N156" s="475"/>
    </row>
    <row r="157" spans="1:14" s="446" customFormat="1" ht="12.75">
      <c r="A157" s="467">
        <v>3.08</v>
      </c>
      <c r="B157" s="508" t="s">
        <v>477</v>
      </c>
      <c r="C157" s="469">
        <v>1</v>
      </c>
      <c r="D157" s="479" t="s">
        <v>427</v>
      </c>
      <c r="E157" s="523">
        <v>16559.57</v>
      </c>
      <c r="F157" s="488">
        <v>16559.57</v>
      </c>
      <c r="G157" s="463">
        <v>0</v>
      </c>
      <c r="H157" s="472"/>
      <c r="I157" s="472">
        <f t="shared" si="76"/>
        <v>0</v>
      </c>
      <c r="J157" s="473">
        <f t="shared" si="77"/>
        <v>0</v>
      </c>
      <c r="K157" s="474">
        <f t="shared" si="78"/>
        <v>0</v>
      </c>
      <c r="L157" s="474">
        <f t="shared" si="79"/>
        <v>0</v>
      </c>
      <c r="M157" s="474">
        <f t="shared" si="80"/>
        <v>0</v>
      </c>
      <c r="N157" s="475"/>
    </row>
    <row r="158" spans="1:14" s="446" customFormat="1" ht="24">
      <c r="A158" s="467">
        <v>3.09</v>
      </c>
      <c r="B158" s="508" t="s">
        <v>478</v>
      </c>
      <c r="C158" s="469">
        <v>1</v>
      </c>
      <c r="D158" s="479" t="s">
        <v>427</v>
      </c>
      <c r="E158" s="523">
        <v>8704.4500000000007</v>
      </c>
      <c r="F158" s="488">
        <v>8704.4500000000007</v>
      </c>
      <c r="G158" s="460">
        <v>0</v>
      </c>
      <c r="H158" s="472"/>
      <c r="I158" s="472">
        <f t="shared" si="76"/>
        <v>0</v>
      </c>
      <c r="J158" s="473">
        <f t="shared" si="77"/>
        <v>0</v>
      </c>
      <c r="K158" s="474">
        <f t="shared" si="78"/>
        <v>0</v>
      </c>
      <c r="L158" s="474">
        <f t="shared" si="79"/>
        <v>0</v>
      </c>
      <c r="M158" s="474">
        <f t="shared" si="80"/>
        <v>0</v>
      </c>
      <c r="N158" s="475"/>
    </row>
    <row r="159" spans="1:14" s="446" customFormat="1" ht="12.75">
      <c r="A159" s="512">
        <v>3.1</v>
      </c>
      <c r="B159" s="508" t="s">
        <v>479</v>
      </c>
      <c r="C159" s="469">
        <v>0.35</v>
      </c>
      <c r="D159" s="479" t="s">
        <v>427</v>
      </c>
      <c r="E159" s="523">
        <v>19782.939925857143</v>
      </c>
      <c r="F159" s="488">
        <v>6924.03</v>
      </c>
      <c r="G159" s="460">
        <v>0</v>
      </c>
      <c r="H159" s="472"/>
      <c r="I159" s="472">
        <f t="shared" si="76"/>
        <v>0</v>
      </c>
      <c r="J159" s="473">
        <f t="shared" si="77"/>
        <v>0</v>
      </c>
      <c r="K159" s="474">
        <f t="shared" si="78"/>
        <v>0</v>
      </c>
      <c r="L159" s="474">
        <f t="shared" si="79"/>
        <v>0</v>
      </c>
      <c r="M159" s="474">
        <f t="shared" si="80"/>
        <v>0</v>
      </c>
      <c r="N159" s="475"/>
    </row>
    <row r="160" spans="1:14" s="446" customFormat="1" ht="12.75">
      <c r="A160" s="467">
        <v>3.11</v>
      </c>
      <c r="B160" s="508" t="s">
        <v>468</v>
      </c>
      <c r="C160" s="469">
        <v>8</v>
      </c>
      <c r="D160" s="479" t="s">
        <v>427</v>
      </c>
      <c r="E160" s="505">
        <v>148.5</v>
      </c>
      <c r="F160" s="505">
        <v>1188</v>
      </c>
      <c r="G160" s="460">
        <v>0</v>
      </c>
      <c r="H160" s="472"/>
      <c r="I160" s="472">
        <f t="shared" si="76"/>
        <v>0</v>
      </c>
      <c r="J160" s="473">
        <f t="shared" si="77"/>
        <v>0</v>
      </c>
      <c r="K160" s="474">
        <f t="shared" si="78"/>
        <v>0</v>
      </c>
      <c r="L160" s="474">
        <f t="shared" si="79"/>
        <v>0</v>
      </c>
      <c r="M160" s="474">
        <f t="shared" si="80"/>
        <v>0</v>
      </c>
      <c r="N160" s="475"/>
    </row>
    <row r="161" spans="1:14" s="446" customFormat="1" ht="24">
      <c r="A161" s="467">
        <v>3.12</v>
      </c>
      <c r="B161" s="508" t="s">
        <v>469</v>
      </c>
      <c r="C161" s="469">
        <v>0.5</v>
      </c>
      <c r="D161" s="479" t="s">
        <v>427</v>
      </c>
      <c r="E161" s="505">
        <v>6283.1762811999997</v>
      </c>
      <c r="F161" s="505">
        <v>3141.59</v>
      </c>
      <c r="G161" s="460">
        <v>0</v>
      </c>
      <c r="H161" s="472"/>
      <c r="I161" s="472">
        <f t="shared" si="76"/>
        <v>0</v>
      </c>
      <c r="J161" s="473">
        <f t="shared" si="77"/>
        <v>0</v>
      </c>
      <c r="K161" s="474">
        <f t="shared" si="78"/>
        <v>0</v>
      </c>
      <c r="L161" s="474">
        <f t="shared" si="79"/>
        <v>0</v>
      </c>
      <c r="M161" s="474">
        <f t="shared" si="80"/>
        <v>0</v>
      </c>
      <c r="N161" s="475"/>
    </row>
    <row r="162" spans="1:14" s="446" customFormat="1" ht="12.75">
      <c r="A162" s="467">
        <v>3.13</v>
      </c>
      <c r="B162" s="508" t="s">
        <v>470</v>
      </c>
      <c r="C162" s="469">
        <v>1</v>
      </c>
      <c r="D162" s="479" t="s">
        <v>427</v>
      </c>
      <c r="E162" s="505">
        <v>2772</v>
      </c>
      <c r="F162" s="505">
        <v>2772</v>
      </c>
      <c r="G162" s="460">
        <v>0</v>
      </c>
      <c r="H162" s="472"/>
      <c r="I162" s="472">
        <f t="shared" si="76"/>
        <v>0</v>
      </c>
      <c r="J162" s="473">
        <f t="shared" si="77"/>
        <v>0</v>
      </c>
      <c r="K162" s="474">
        <f t="shared" si="78"/>
        <v>0</v>
      </c>
      <c r="L162" s="474">
        <f t="shared" si="79"/>
        <v>0</v>
      </c>
      <c r="M162" s="474">
        <f t="shared" si="80"/>
        <v>0</v>
      </c>
      <c r="N162" s="475"/>
    </row>
    <row r="163" spans="1:14" s="446" customFormat="1" ht="12.75">
      <c r="A163" s="467">
        <v>3.14</v>
      </c>
      <c r="B163" s="508" t="s">
        <v>456</v>
      </c>
      <c r="C163" s="469">
        <v>1</v>
      </c>
      <c r="D163" s="479" t="s">
        <v>88</v>
      </c>
      <c r="E163" s="523">
        <v>222750</v>
      </c>
      <c r="F163" s="488">
        <v>222750</v>
      </c>
      <c r="G163" s="460">
        <v>0</v>
      </c>
      <c r="H163" s="472"/>
      <c r="I163" s="472">
        <f t="shared" si="76"/>
        <v>0</v>
      </c>
      <c r="J163" s="473">
        <f t="shared" si="77"/>
        <v>0</v>
      </c>
      <c r="K163" s="474">
        <f t="shared" si="78"/>
        <v>0</v>
      </c>
      <c r="L163" s="474">
        <f t="shared" si="79"/>
        <v>0</v>
      </c>
      <c r="M163" s="474">
        <f t="shared" si="80"/>
        <v>0</v>
      </c>
      <c r="N163" s="475"/>
    </row>
    <row r="164" spans="1:14" s="515" customFormat="1" ht="17.100000000000001" customHeight="1">
      <c r="A164" s="489">
        <v>3.15</v>
      </c>
      <c r="B164" s="508" t="s">
        <v>471</v>
      </c>
      <c r="C164" s="490">
        <v>180</v>
      </c>
      <c r="D164" s="479" t="s">
        <v>432</v>
      </c>
      <c r="E164" s="524">
        <v>338.91660000000002</v>
      </c>
      <c r="F164" s="491">
        <v>61004.99</v>
      </c>
      <c r="G164" s="525">
        <v>0</v>
      </c>
      <c r="H164" s="472"/>
      <c r="I164" s="472">
        <f t="shared" si="76"/>
        <v>0</v>
      </c>
      <c r="J164" s="473">
        <f t="shared" si="77"/>
        <v>0</v>
      </c>
      <c r="K164" s="474">
        <f t="shared" si="78"/>
        <v>0</v>
      </c>
      <c r="L164" s="474">
        <f t="shared" si="79"/>
        <v>0</v>
      </c>
      <c r="M164" s="474">
        <f t="shared" si="80"/>
        <v>0</v>
      </c>
      <c r="N164" s="514"/>
    </row>
    <row r="165" spans="1:14" s="493" customFormat="1" ht="12.75">
      <c r="A165" s="526"/>
      <c r="B165" s="477" t="s">
        <v>44</v>
      </c>
      <c r="C165" s="507"/>
      <c r="D165" s="497"/>
      <c r="E165" s="498"/>
      <c r="F165" s="481">
        <f>SUM(F103:F164)</f>
        <v>4092713.1299999994</v>
      </c>
      <c r="G165" s="482"/>
      <c r="H165" s="482"/>
      <c r="I165" s="483"/>
      <c r="J165" s="482"/>
      <c r="K165" s="484">
        <f>SUM(K103:K164)</f>
        <v>0</v>
      </c>
      <c r="L165" s="484">
        <f>SUM(L103:L164)</f>
        <v>704725</v>
      </c>
      <c r="M165" s="484">
        <f t="shared" si="80"/>
        <v>704725</v>
      </c>
      <c r="N165" s="492"/>
    </row>
    <row r="166" spans="1:14" s="493" customFormat="1" ht="24">
      <c r="A166" s="476" t="s">
        <v>214</v>
      </c>
      <c r="B166" s="506" t="s">
        <v>480</v>
      </c>
      <c r="C166" s="496"/>
      <c r="D166" s="497"/>
      <c r="E166" s="498"/>
      <c r="F166" s="498"/>
      <c r="G166" s="482"/>
      <c r="H166" s="482"/>
      <c r="I166" s="527"/>
      <c r="J166" s="482"/>
      <c r="K166" s="528"/>
      <c r="L166" s="529"/>
      <c r="M166" s="529"/>
      <c r="N166" s="492"/>
    </row>
    <row r="167" spans="1:14">
      <c r="A167" s="476">
        <v>1</v>
      </c>
      <c r="B167" s="506" t="s">
        <v>365</v>
      </c>
      <c r="C167" s="496"/>
      <c r="D167" s="497"/>
      <c r="E167" s="498"/>
      <c r="F167" s="498"/>
      <c r="G167" s="460"/>
      <c r="H167" s="463"/>
      <c r="I167" s="499"/>
      <c r="J167" s="463"/>
      <c r="K167" s="464"/>
      <c r="L167" s="464"/>
      <c r="M167" s="464"/>
      <c r="N167" s="466"/>
    </row>
    <row r="168" spans="1:14" s="446" customFormat="1" ht="12.75">
      <c r="A168" s="467">
        <v>1.01</v>
      </c>
      <c r="B168" s="508" t="s">
        <v>29</v>
      </c>
      <c r="C168" s="469">
        <v>2190</v>
      </c>
      <c r="D168" s="479" t="s">
        <v>264</v>
      </c>
      <c r="E168" s="488">
        <v>60</v>
      </c>
      <c r="F168" s="488">
        <v>131400</v>
      </c>
      <c r="G168" s="460">
        <v>0</v>
      </c>
      <c r="H168" s="472">
        <v>2190</v>
      </c>
      <c r="I168" s="472">
        <f t="shared" ref="I168" si="81">G168+H168</f>
        <v>2190</v>
      </c>
      <c r="J168" s="473">
        <f t="shared" ref="J168" si="82">I168/C168</f>
        <v>1</v>
      </c>
      <c r="K168" s="474">
        <f t="shared" ref="K168" si="83">G168*E168</f>
        <v>0</v>
      </c>
      <c r="L168" s="474">
        <f t="shared" ref="L168" si="84">H168*E168</f>
        <v>131400</v>
      </c>
      <c r="M168" s="474">
        <f t="shared" ref="M168" si="85">K168+L168</f>
        <v>131400</v>
      </c>
      <c r="N168" s="475"/>
    </row>
    <row r="169" spans="1:14">
      <c r="A169" s="476">
        <v>2</v>
      </c>
      <c r="B169" s="506" t="s">
        <v>250</v>
      </c>
      <c r="C169" s="496"/>
      <c r="D169" s="497"/>
      <c r="E169" s="498"/>
      <c r="F169" s="498"/>
      <c r="G169" s="460"/>
      <c r="H169" s="463"/>
      <c r="I169" s="499"/>
      <c r="J169" s="463"/>
      <c r="K169" s="464"/>
      <c r="L169" s="464"/>
      <c r="M169" s="464"/>
      <c r="N169" s="466"/>
    </row>
    <row r="170" spans="1:14" s="446" customFormat="1" ht="12.75">
      <c r="A170" s="467">
        <v>2.0099999999999998</v>
      </c>
      <c r="B170" s="508" t="s">
        <v>37</v>
      </c>
      <c r="C170" s="469">
        <v>1971</v>
      </c>
      <c r="D170" s="479" t="s">
        <v>38</v>
      </c>
      <c r="E170" s="505">
        <v>198</v>
      </c>
      <c r="F170" s="488">
        <v>390258</v>
      </c>
      <c r="G170" s="460">
        <v>0</v>
      </c>
      <c r="H170" s="472">
        <v>1971</v>
      </c>
      <c r="I170" s="472">
        <f t="shared" ref="I170:I174" si="86">G170+H170</f>
        <v>1971</v>
      </c>
      <c r="J170" s="473">
        <f t="shared" ref="J170:J174" si="87">I170/C170</f>
        <v>1</v>
      </c>
      <c r="K170" s="474">
        <f t="shared" ref="K170:K174" si="88">G170*E170</f>
        <v>0</v>
      </c>
      <c r="L170" s="474">
        <f t="shared" ref="L170:L174" si="89">H170*E170</f>
        <v>390258</v>
      </c>
      <c r="M170" s="474">
        <f t="shared" ref="M170:M174" si="90">K170+L170</f>
        <v>390258</v>
      </c>
      <c r="N170" s="475"/>
    </row>
    <row r="171" spans="1:14">
      <c r="A171" s="467">
        <v>2.02</v>
      </c>
      <c r="B171" s="508" t="s">
        <v>369</v>
      </c>
      <c r="C171" s="469">
        <v>164.25</v>
      </c>
      <c r="D171" s="479" t="s">
        <v>38</v>
      </c>
      <c r="E171" s="505">
        <v>940.5</v>
      </c>
      <c r="F171" s="488">
        <v>154477.13</v>
      </c>
      <c r="G171" s="460">
        <v>0</v>
      </c>
      <c r="H171" s="472">
        <v>164.25</v>
      </c>
      <c r="I171" s="472">
        <f t="shared" si="86"/>
        <v>164.25</v>
      </c>
      <c r="J171" s="473">
        <f t="shared" si="87"/>
        <v>1</v>
      </c>
      <c r="K171" s="474">
        <f t="shared" si="88"/>
        <v>0</v>
      </c>
      <c r="L171" s="474">
        <f t="shared" si="89"/>
        <v>154477.125</v>
      </c>
      <c r="M171" s="474">
        <f t="shared" si="90"/>
        <v>154477.125</v>
      </c>
      <c r="N171" s="466"/>
    </row>
    <row r="172" spans="1:14" s="493" customFormat="1" ht="12.75">
      <c r="A172" s="467">
        <v>2.0299999999999998</v>
      </c>
      <c r="B172" s="508" t="s">
        <v>370</v>
      </c>
      <c r="C172" s="469">
        <v>1182.5999999999999</v>
      </c>
      <c r="D172" s="479" t="s">
        <v>38</v>
      </c>
      <c r="E172" s="505">
        <v>539.54999999999995</v>
      </c>
      <c r="F172" s="488">
        <v>638071.82999999996</v>
      </c>
      <c r="G172" s="460">
        <v>0</v>
      </c>
      <c r="H172" s="472">
        <v>1182.5999999999999</v>
      </c>
      <c r="I172" s="472">
        <f t="shared" si="86"/>
        <v>1182.5999999999999</v>
      </c>
      <c r="J172" s="473">
        <f t="shared" si="87"/>
        <v>1</v>
      </c>
      <c r="K172" s="474">
        <f t="shared" si="88"/>
        <v>0</v>
      </c>
      <c r="L172" s="474">
        <f t="shared" si="89"/>
        <v>638071.82999999984</v>
      </c>
      <c r="M172" s="474">
        <f t="shared" si="90"/>
        <v>638071.82999999984</v>
      </c>
      <c r="N172" s="492"/>
    </row>
    <row r="173" spans="1:14">
      <c r="A173" s="467">
        <v>2.04</v>
      </c>
      <c r="B173" s="508" t="s">
        <v>253</v>
      </c>
      <c r="C173" s="469">
        <v>985.50000000000011</v>
      </c>
      <c r="D173" s="479" t="s">
        <v>38</v>
      </c>
      <c r="E173" s="505">
        <v>247.5</v>
      </c>
      <c r="F173" s="488">
        <v>243911.25</v>
      </c>
      <c r="G173" s="460">
        <v>0</v>
      </c>
      <c r="H173" s="472">
        <v>985.50000000000011</v>
      </c>
      <c r="I173" s="472">
        <f t="shared" si="86"/>
        <v>985.50000000000011</v>
      </c>
      <c r="J173" s="473">
        <f t="shared" si="87"/>
        <v>1</v>
      </c>
      <c r="K173" s="474">
        <f t="shared" si="88"/>
        <v>0</v>
      </c>
      <c r="L173" s="474">
        <f t="shared" si="89"/>
        <v>243911.25000000003</v>
      </c>
      <c r="M173" s="474">
        <f t="shared" si="90"/>
        <v>243911.25000000003</v>
      </c>
      <c r="N173" s="466"/>
    </row>
    <row r="174" spans="1:14" s="531" customFormat="1" ht="24">
      <c r="A174" s="489">
        <v>2.0499999999999998</v>
      </c>
      <c r="B174" s="508" t="s">
        <v>371</v>
      </c>
      <c r="C174" s="490">
        <v>591.29999999999995</v>
      </c>
      <c r="D174" s="479" t="s">
        <v>38</v>
      </c>
      <c r="E174" s="510">
        <v>762.3</v>
      </c>
      <c r="F174" s="491">
        <v>450747.99</v>
      </c>
      <c r="G174" s="460">
        <v>0</v>
      </c>
      <c r="H174" s="472">
        <v>591.29999999999995</v>
      </c>
      <c r="I174" s="472">
        <f t="shared" si="86"/>
        <v>591.29999999999995</v>
      </c>
      <c r="J174" s="473">
        <f t="shared" si="87"/>
        <v>1</v>
      </c>
      <c r="K174" s="474">
        <f t="shared" si="88"/>
        <v>0</v>
      </c>
      <c r="L174" s="474">
        <f t="shared" si="89"/>
        <v>450747.98999999993</v>
      </c>
      <c r="M174" s="474">
        <f t="shared" si="90"/>
        <v>450747.98999999993</v>
      </c>
      <c r="N174" s="530"/>
    </row>
    <row r="175" spans="1:14">
      <c r="A175" s="476">
        <v>3</v>
      </c>
      <c r="B175" s="506" t="s">
        <v>45</v>
      </c>
      <c r="C175" s="469"/>
      <c r="D175" s="479"/>
      <c r="E175" s="480"/>
      <c r="F175" s="480"/>
      <c r="G175" s="463"/>
      <c r="H175" s="463"/>
      <c r="I175" s="499"/>
      <c r="J175" s="463"/>
      <c r="K175" s="464"/>
      <c r="L175" s="464"/>
      <c r="M175" s="464"/>
      <c r="N175" s="466"/>
    </row>
    <row r="176" spans="1:14">
      <c r="A176" s="489">
        <v>3.01</v>
      </c>
      <c r="B176" s="508" t="s">
        <v>481</v>
      </c>
      <c r="C176" s="469">
        <v>2227.5</v>
      </c>
      <c r="D176" s="479" t="s">
        <v>30</v>
      </c>
      <c r="E176" s="505">
        <v>3247.2366858919004</v>
      </c>
      <c r="F176" s="488">
        <v>7233219.7178242086</v>
      </c>
      <c r="G176" s="460">
        <v>0</v>
      </c>
      <c r="H176" s="472">
        <v>0</v>
      </c>
      <c r="I176" s="472">
        <f t="shared" ref="I176" si="91">G176+H176</f>
        <v>0</v>
      </c>
      <c r="J176" s="473">
        <f t="shared" ref="J176" si="92">I176/C176</f>
        <v>0</v>
      </c>
      <c r="K176" s="474">
        <f t="shared" ref="K176" si="93">G176*E176</f>
        <v>0</v>
      </c>
      <c r="L176" s="474">
        <f t="shared" ref="L176" si="94">H176*E176</f>
        <v>0</v>
      </c>
      <c r="M176" s="474">
        <f t="shared" ref="M176" si="95">K176+L176</f>
        <v>0</v>
      </c>
      <c r="N176" s="466"/>
    </row>
    <row r="177" spans="1:14" s="493" customFormat="1" ht="12.75">
      <c r="A177" s="476">
        <v>4</v>
      </c>
      <c r="B177" s="506" t="s">
        <v>374</v>
      </c>
      <c r="C177" s="496"/>
      <c r="D177" s="497"/>
      <c r="E177" s="498"/>
      <c r="F177" s="498"/>
      <c r="G177" s="502"/>
      <c r="H177" s="482"/>
      <c r="I177" s="483"/>
      <c r="J177" s="482"/>
      <c r="K177" s="503"/>
      <c r="L177" s="503"/>
      <c r="M177" s="503"/>
      <c r="N177" s="492"/>
    </row>
    <row r="178" spans="1:14">
      <c r="A178" s="467">
        <v>4.01</v>
      </c>
      <c r="B178" s="508" t="s">
        <v>482</v>
      </c>
      <c r="C178" s="469">
        <v>2190</v>
      </c>
      <c r="D178" s="479" t="s">
        <v>30</v>
      </c>
      <c r="E178" s="505">
        <v>80</v>
      </c>
      <c r="F178" s="488">
        <v>175200</v>
      </c>
      <c r="G178" s="460">
        <v>0</v>
      </c>
      <c r="H178" s="472">
        <v>2190</v>
      </c>
      <c r="I178" s="472">
        <f t="shared" ref="I178" si="96">G178+H178</f>
        <v>2190</v>
      </c>
      <c r="J178" s="473">
        <f t="shared" ref="J178" si="97">I178/C178</f>
        <v>1</v>
      </c>
      <c r="K178" s="474">
        <f t="shared" ref="K178" si="98">G178*E178</f>
        <v>0</v>
      </c>
      <c r="L178" s="474">
        <f t="shared" ref="L178" si="99">H178*E178</f>
        <v>175200</v>
      </c>
      <c r="M178" s="474">
        <f t="shared" ref="M178" si="100">K178+L178</f>
        <v>175200</v>
      </c>
      <c r="N178" s="466"/>
    </row>
    <row r="179" spans="1:14" s="493" customFormat="1" ht="12.75">
      <c r="A179" s="476">
        <v>5</v>
      </c>
      <c r="B179" s="506" t="s">
        <v>483</v>
      </c>
      <c r="C179" s="496"/>
      <c r="D179" s="497"/>
      <c r="E179" s="498"/>
      <c r="F179" s="498"/>
      <c r="G179" s="502"/>
      <c r="H179" s="482"/>
      <c r="I179" s="483"/>
      <c r="J179" s="482"/>
      <c r="K179" s="503"/>
      <c r="L179" s="503"/>
      <c r="M179" s="503"/>
      <c r="N179" s="492"/>
    </row>
    <row r="180" spans="1:14">
      <c r="A180" s="467">
        <v>5.01</v>
      </c>
      <c r="B180" s="508" t="s">
        <v>484</v>
      </c>
      <c r="C180" s="469">
        <v>72</v>
      </c>
      <c r="D180" s="479" t="s">
        <v>30</v>
      </c>
      <c r="E180" s="505">
        <v>8379.9096102713029</v>
      </c>
      <c r="F180" s="488">
        <v>603353.49193953385</v>
      </c>
      <c r="G180" s="460">
        <v>0</v>
      </c>
      <c r="H180" s="472">
        <v>72</v>
      </c>
      <c r="I180" s="472">
        <f t="shared" ref="I180:I181" si="101">G180+H180</f>
        <v>72</v>
      </c>
      <c r="J180" s="473">
        <f t="shared" ref="J180:J181" si="102">I180/C180</f>
        <v>1</v>
      </c>
      <c r="K180" s="474">
        <f t="shared" ref="K180:K181" si="103">G180*E180</f>
        <v>0</v>
      </c>
      <c r="L180" s="474">
        <f t="shared" ref="L180:L181" si="104">H180*E180</f>
        <v>603353.49193953385</v>
      </c>
      <c r="M180" s="474">
        <f t="shared" ref="M180:M181" si="105">K180+L180</f>
        <v>603353.49193953385</v>
      </c>
      <c r="N180" s="466"/>
    </row>
    <row r="181" spans="1:14">
      <c r="A181" s="467">
        <v>5.0199999999999996</v>
      </c>
      <c r="B181" s="508" t="s">
        <v>485</v>
      </c>
      <c r="C181" s="469">
        <v>14</v>
      </c>
      <c r="D181" s="479" t="s">
        <v>50</v>
      </c>
      <c r="E181" s="505">
        <v>6509.6</v>
      </c>
      <c r="F181" s="488">
        <v>91134.400000000009</v>
      </c>
      <c r="G181" s="460">
        <v>0</v>
      </c>
      <c r="H181" s="472">
        <v>14</v>
      </c>
      <c r="I181" s="472">
        <f t="shared" si="101"/>
        <v>14</v>
      </c>
      <c r="J181" s="473">
        <f t="shared" si="102"/>
        <v>1</v>
      </c>
      <c r="K181" s="474">
        <f t="shared" si="103"/>
        <v>0</v>
      </c>
      <c r="L181" s="474">
        <f t="shared" si="104"/>
        <v>91134.400000000009</v>
      </c>
      <c r="M181" s="474">
        <f t="shared" si="105"/>
        <v>91134.400000000009</v>
      </c>
      <c r="N181" s="466"/>
    </row>
    <row r="182" spans="1:14" s="493" customFormat="1" ht="12.75">
      <c r="A182" s="476">
        <v>6</v>
      </c>
      <c r="B182" s="506" t="s">
        <v>486</v>
      </c>
      <c r="C182" s="496"/>
      <c r="D182" s="497"/>
      <c r="E182" s="498"/>
      <c r="F182" s="498"/>
      <c r="G182" s="482"/>
      <c r="H182" s="482"/>
      <c r="I182" s="483"/>
      <c r="J182" s="482"/>
      <c r="K182" s="503"/>
      <c r="L182" s="503"/>
      <c r="M182" s="503"/>
      <c r="N182" s="492"/>
    </row>
    <row r="183" spans="1:14">
      <c r="A183" s="467">
        <v>6.01</v>
      </c>
      <c r="B183" s="508" t="s">
        <v>386</v>
      </c>
      <c r="C183" s="469">
        <v>2</v>
      </c>
      <c r="D183" s="479" t="s">
        <v>50</v>
      </c>
      <c r="E183" s="505">
        <v>12090.784935124999</v>
      </c>
      <c r="F183" s="488">
        <v>24181.569870249998</v>
      </c>
      <c r="G183" s="460">
        <v>0</v>
      </c>
      <c r="H183" s="472">
        <v>2</v>
      </c>
      <c r="I183" s="472">
        <f t="shared" ref="I183" si="106">G183+H183</f>
        <v>2</v>
      </c>
      <c r="J183" s="473">
        <f t="shared" ref="J183" si="107">I183/C183</f>
        <v>1</v>
      </c>
      <c r="K183" s="474">
        <f t="shared" ref="K183" si="108">G183*E183</f>
        <v>0</v>
      </c>
      <c r="L183" s="474">
        <f t="shared" ref="L183" si="109">H183*E183</f>
        <v>24181.569870249998</v>
      </c>
      <c r="M183" s="474">
        <f t="shared" ref="M183" si="110">K183+L183</f>
        <v>24181.569870249998</v>
      </c>
      <c r="N183" s="466"/>
    </row>
    <row r="184" spans="1:14" s="493" customFormat="1" ht="12.75">
      <c r="A184" s="476">
        <v>7</v>
      </c>
      <c r="B184" s="506" t="s">
        <v>487</v>
      </c>
      <c r="C184" s="496"/>
      <c r="D184" s="497"/>
      <c r="E184" s="498"/>
      <c r="F184" s="498"/>
      <c r="G184" s="502"/>
      <c r="H184" s="482"/>
      <c r="I184" s="483"/>
      <c r="J184" s="482"/>
      <c r="K184" s="503"/>
      <c r="L184" s="503"/>
      <c r="M184" s="503"/>
      <c r="N184" s="492"/>
    </row>
    <row r="185" spans="1:14" ht="24">
      <c r="A185" s="467">
        <v>7.02</v>
      </c>
      <c r="B185" s="508" t="s">
        <v>488</v>
      </c>
      <c r="C185" s="469">
        <v>1</v>
      </c>
      <c r="D185" s="479" t="s">
        <v>50</v>
      </c>
      <c r="E185" s="505">
        <v>18308.45</v>
      </c>
      <c r="F185" s="488">
        <v>18308.45</v>
      </c>
      <c r="G185" s="460">
        <v>0</v>
      </c>
      <c r="H185" s="472"/>
      <c r="I185" s="472">
        <f t="shared" ref="I185:I186" si="111">G185+H185</f>
        <v>0</v>
      </c>
      <c r="J185" s="473">
        <f t="shared" ref="J185:J186" si="112">I185/C185</f>
        <v>0</v>
      </c>
      <c r="K185" s="474">
        <f t="shared" ref="K185:K186" si="113">G185*E185</f>
        <v>0</v>
      </c>
      <c r="L185" s="474">
        <f t="shared" ref="L185:L186" si="114">H185*E185</f>
        <v>0</v>
      </c>
      <c r="M185" s="474">
        <f t="shared" ref="M185:M186" si="115">K185+L185</f>
        <v>0</v>
      </c>
      <c r="N185" s="466"/>
    </row>
    <row r="186" spans="1:14" s="533" customFormat="1" ht="18" customHeight="1">
      <c r="A186" s="489">
        <v>7.03</v>
      </c>
      <c r="B186" s="508" t="s">
        <v>489</v>
      </c>
      <c r="C186" s="490">
        <v>3</v>
      </c>
      <c r="D186" s="479" t="s">
        <v>50</v>
      </c>
      <c r="E186" s="510">
        <v>34594.22</v>
      </c>
      <c r="F186" s="491">
        <v>103782.66</v>
      </c>
      <c r="G186" s="460">
        <v>0</v>
      </c>
      <c r="H186" s="472">
        <v>3</v>
      </c>
      <c r="I186" s="472">
        <f t="shared" si="111"/>
        <v>3</v>
      </c>
      <c r="J186" s="473">
        <f t="shared" si="112"/>
        <v>1</v>
      </c>
      <c r="K186" s="474">
        <f t="shared" si="113"/>
        <v>0</v>
      </c>
      <c r="L186" s="474">
        <f t="shared" si="114"/>
        <v>103782.66</v>
      </c>
      <c r="M186" s="474">
        <f t="shared" si="115"/>
        <v>103782.66</v>
      </c>
      <c r="N186" s="532"/>
    </row>
    <row r="187" spans="1:14" s="493" customFormat="1" ht="12.75">
      <c r="A187" s="476">
        <v>8</v>
      </c>
      <c r="B187" s="506" t="s">
        <v>490</v>
      </c>
      <c r="C187" s="496"/>
      <c r="D187" s="497"/>
      <c r="E187" s="498"/>
      <c r="F187" s="498"/>
      <c r="G187" s="502"/>
      <c r="H187" s="482"/>
      <c r="I187" s="483"/>
      <c r="J187" s="482"/>
      <c r="K187" s="503"/>
      <c r="L187" s="503"/>
      <c r="M187" s="503"/>
      <c r="N187" s="492"/>
    </row>
    <row r="188" spans="1:14">
      <c r="A188" s="467">
        <v>8.01</v>
      </c>
      <c r="B188" s="508" t="s">
        <v>33</v>
      </c>
      <c r="C188" s="469">
        <v>810</v>
      </c>
      <c r="D188" s="479" t="s">
        <v>30</v>
      </c>
      <c r="E188" s="505">
        <v>87.27</v>
      </c>
      <c r="F188" s="488">
        <v>70688.7</v>
      </c>
      <c r="G188" s="460">
        <v>0</v>
      </c>
      <c r="H188" s="472">
        <v>810</v>
      </c>
      <c r="I188" s="472">
        <f t="shared" ref="I188" si="116">G188+H188</f>
        <v>810</v>
      </c>
      <c r="J188" s="473">
        <f t="shared" ref="J188" si="117">I188/C188</f>
        <v>1</v>
      </c>
      <c r="K188" s="474">
        <f t="shared" ref="K188" si="118">G188*E188</f>
        <v>0</v>
      </c>
      <c r="L188" s="474">
        <f t="shared" ref="L188" si="119">H188*E188</f>
        <v>70688.7</v>
      </c>
      <c r="M188" s="474">
        <f t="shared" ref="M188" si="120">K188+L188</f>
        <v>70688.7</v>
      </c>
      <c r="N188" s="466"/>
    </row>
    <row r="189" spans="1:14" s="493" customFormat="1" ht="12.75">
      <c r="A189" s="476">
        <v>9</v>
      </c>
      <c r="B189" s="506" t="s">
        <v>491</v>
      </c>
      <c r="C189" s="496"/>
      <c r="D189" s="497"/>
      <c r="E189" s="498"/>
      <c r="F189" s="498"/>
      <c r="G189" s="502"/>
      <c r="H189" s="482"/>
      <c r="I189" s="483"/>
      <c r="J189" s="482"/>
      <c r="K189" s="503"/>
      <c r="L189" s="503"/>
      <c r="M189" s="503"/>
      <c r="N189" s="492"/>
    </row>
    <row r="190" spans="1:14">
      <c r="A190" s="467">
        <v>9.01</v>
      </c>
      <c r="B190" s="508" t="s">
        <v>378</v>
      </c>
      <c r="C190" s="469">
        <v>20</v>
      </c>
      <c r="D190" s="479" t="s">
        <v>50</v>
      </c>
      <c r="E190" s="505">
        <v>1420.9679999999998</v>
      </c>
      <c r="F190" s="488">
        <v>28419.359999999997</v>
      </c>
      <c r="G190" s="460">
        <v>0</v>
      </c>
      <c r="H190" s="472">
        <v>20</v>
      </c>
      <c r="I190" s="472">
        <f t="shared" ref="I190:I191" si="121">G190+H190</f>
        <v>20</v>
      </c>
      <c r="J190" s="473">
        <f t="shared" ref="J190:J191" si="122">I190/C190</f>
        <v>1</v>
      </c>
      <c r="K190" s="474">
        <f t="shared" ref="K190:K191" si="123">G190*E190</f>
        <v>0</v>
      </c>
      <c r="L190" s="474">
        <f t="shared" ref="L190:L191" si="124">H190*E190</f>
        <v>28419.359999999997</v>
      </c>
      <c r="M190" s="474">
        <f t="shared" ref="M190:M191" si="125">K190+L190</f>
        <v>28419.359999999997</v>
      </c>
      <c r="N190" s="466"/>
    </row>
    <row r="191" spans="1:14" s="533" customFormat="1" ht="15" customHeight="1">
      <c r="A191" s="489">
        <v>9.02</v>
      </c>
      <c r="B191" s="508" t="s">
        <v>492</v>
      </c>
      <c r="C191" s="490">
        <v>6</v>
      </c>
      <c r="D191" s="479" t="s">
        <v>50</v>
      </c>
      <c r="E191" s="510">
        <v>11911.1</v>
      </c>
      <c r="F191" s="491">
        <v>71466.600000000006</v>
      </c>
      <c r="G191" s="534">
        <v>0</v>
      </c>
      <c r="H191" s="472">
        <v>6</v>
      </c>
      <c r="I191" s="472">
        <f t="shared" si="121"/>
        <v>6</v>
      </c>
      <c r="J191" s="473">
        <f t="shared" si="122"/>
        <v>1</v>
      </c>
      <c r="K191" s="474">
        <f t="shared" si="123"/>
        <v>0</v>
      </c>
      <c r="L191" s="474">
        <f t="shared" si="124"/>
        <v>71466.600000000006</v>
      </c>
      <c r="M191" s="474">
        <f t="shared" si="125"/>
        <v>71466.600000000006</v>
      </c>
      <c r="N191" s="532"/>
    </row>
    <row r="192" spans="1:14" s="493" customFormat="1" ht="12.75">
      <c r="A192" s="526"/>
      <c r="B192" s="477" t="s">
        <v>44</v>
      </c>
      <c r="C192" s="507"/>
      <c r="D192" s="497"/>
      <c r="E192" s="498"/>
      <c r="F192" s="481">
        <f>SUM(F168:F191)</f>
        <v>10428621.149633991</v>
      </c>
      <c r="G192" s="502"/>
      <c r="H192" s="502"/>
      <c r="I192" s="483"/>
      <c r="J192" s="482"/>
      <c r="K192" s="484">
        <f>SUM(K168:K191)</f>
        <v>0</v>
      </c>
      <c r="L192" s="484">
        <f>SUM(L168:L191)</f>
        <v>3177092.9768097838</v>
      </c>
      <c r="M192" s="484">
        <f>SUM(M168:M191)</f>
        <v>3177092.9768097838</v>
      </c>
      <c r="N192" s="492"/>
    </row>
    <row r="193" spans="1:14" s="542" customFormat="1" ht="24">
      <c r="A193" s="495" t="s">
        <v>221</v>
      </c>
      <c r="B193" s="506" t="s">
        <v>493</v>
      </c>
      <c r="C193" s="535"/>
      <c r="D193" s="497"/>
      <c r="E193" s="536"/>
      <c r="F193" s="536"/>
      <c r="G193" s="537"/>
      <c r="H193" s="538"/>
      <c r="I193" s="539"/>
      <c r="J193" s="538"/>
      <c r="K193" s="540"/>
      <c r="L193" s="540"/>
      <c r="M193" s="540"/>
      <c r="N193" s="541"/>
    </row>
    <row r="194" spans="1:14" s="493" customFormat="1" ht="12.75">
      <c r="A194" s="476">
        <v>1</v>
      </c>
      <c r="B194" s="506" t="s">
        <v>365</v>
      </c>
      <c r="C194" s="496"/>
      <c r="D194" s="497"/>
      <c r="E194" s="498"/>
      <c r="F194" s="498"/>
      <c r="G194" s="502"/>
      <c r="H194" s="482"/>
      <c r="I194" s="483"/>
      <c r="J194" s="482"/>
      <c r="K194" s="503"/>
      <c r="L194" s="503"/>
      <c r="M194" s="503"/>
      <c r="N194" s="492"/>
    </row>
    <row r="195" spans="1:14">
      <c r="A195" s="467">
        <v>1.01</v>
      </c>
      <c r="B195" s="508" t="s">
        <v>29</v>
      </c>
      <c r="C195" s="469">
        <v>2860</v>
      </c>
      <c r="D195" s="479" t="s">
        <v>264</v>
      </c>
      <c r="E195" s="488">
        <v>60</v>
      </c>
      <c r="F195" s="488">
        <v>171600</v>
      </c>
      <c r="G195" s="460">
        <v>2860</v>
      </c>
      <c r="H195" s="460"/>
      <c r="I195" s="472">
        <f t="shared" ref="I195" si="126">G195+H195</f>
        <v>2860</v>
      </c>
      <c r="J195" s="473">
        <f t="shared" ref="J195" si="127">I195/C195</f>
        <v>1</v>
      </c>
      <c r="K195" s="474">
        <f t="shared" ref="K195" si="128">G195*E195</f>
        <v>171600</v>
      </c>
      <c r="L195" s="474">
        <f t="shared" ref="L195" si="129">H195*E195</f>
        <v>0</v>
      </c>
      <c r="M195" s="474">
        <f t="shared" ref="M195" si="130">K195+L195</f>
        <v>171600</v>
      </c>
      <c r="N195" s="466"/>
    </row>
    <row r="196" spans="1:14" s="493" customFormat="1" ht="12.75">
      <c r="A196" s="476">
        <v>2</v>
      </c>
      <c r="B196" s="506" t="s">
        <v>250</v>
      </c>
      <c r="C196" s="496"/>
      <c r="D196" s="497"/>
      <c r="E196" s="498"/>
      <c r="F196" s="498"/>
      <c r="G196" s="482"/>
      <c r="H196" s="482"/>
      <c r="I196" s="527"/>
      <c r="J196" s="482"/>
      <c r="K196" s="528"/>
      <c r="L196" s="529"/>
      <c r="M196" s="529"/>
      <c r="N196" s="492"/>
    </row>
    <row r="197" spans="1:14" s="446" customFormat="1" ht="12.75">
      <c r="A197" s="467">
        <v>2.0099999999999998</v>
      </c>
      <c r="B197" s="508" t="s">
        <v>37</v>
      </c>
      <c r="C197" s="469">
        <v>1887.6000000000001</v>
      </c>
      <c r="D197" s="479" t="s">
        <v>38</v>
      </c>
      <c r="E197" s="505">
        <v>198</v>
      </c>
      <c r="F197" s="488">
        <v>373744.8</v>
      </c>
      <c r="G197" s="460">
        <v>1887.6000000000001</v>
      </c>
      <c r="H197" s="460"/>
      <c r="I197" s="472">
        <f t="shared" ref="I197:I201" si="131">G197+H197</f>
        <v>1887.6000000000001</v>
      </c>
      <c r="J197" s="473">
        <f t="shared" ref="J197:J201" si="132">I197/C197</f>
        <v>1</v>
      </c>
      <c r="K197" s="474">
        <f t="shared" ref="K197:K201" si="133">G197*E197</f>
        <v>373744.80000000005</v>
      </c>
      <c r="L197" s="474">
        <f t="shared" ref="L197:L201" si="134">H197*E197</f>
        <v>0</v>
      </c>
      <c r="M197" s="474">
        <f t="shared" ref="M197:M201" si="135">K197+L197</f>
        <v>373744.80000000005</v>
      </c>
      <c r="N197" s="475"/>
    </row>
    <row r="198" spans="1:14" s="446" customFormat="1" ht="12.75">
      <c r="A198" s="467">
        <v>2.02</v>
      </c>
      <c r="B198" s="508" t="s">
        <v>369</v>
      </c>
      <c r="C198" s="469">
        <v>171.6</v>
      </c>
      <c r="D198" s="479" t="s">
        <v>38</v>
      </c>
      <c r="E198" s="505">
        <v>940.5</v>
      </c>
      <c r="F198" s="488">
        <v>161389.79999999999</v>
      </c>
      <c r="G198" s="463">
        <v>171.6</v>
      </c>
      <c r="H198" s="463"/>
      <c r="I198" s="472">
        <f t="shared" si="131"/>
        <v>171.6</v>
      </c>
      <c r="J198" s="473">
        <f t="shared" si="132"/>
        <v>1</v>
      </c>
      <c r="K198" s="474">
        <f t="shared" si="133"/>
        <v>161389.79999999999</v>
      </c>
      <c r="L198" s="474">
        <f t="shared" si="134"/>
        <v>0</v>
      </c>
      <c r="M198" s="474">
        <f t="shared" si="135"/>
        <v>161389.79999999999</v>
      </c>
      <c r="N198" s="475"/>
    </row>
    <row r="199" spans="1:14">
      <c r="A199" s="489">
        <v>2.0299999999999998</v>
      </c>
      <c r="B199" s="508" t="s">
        <v>370</v>
      </c>
      <c r="C199" s="490">
        <v>1132.56</v>
      </c>
      <c r="D199" s="479" t="s">
        <v>38</v>
      </c>
      <c r="E199" s="510">
        <v>539.54999999999995</v>
      </c>
      <c r="F199" s="491">
        <v>611072.75</v>
      </c>
      <c r="G199" s="463">
        <v>1132.56</v>
      </c>
      <c r="H199" s="543"/>
      <c r="I199" s="472">
        <f t="shared" si="131"/>
        <v>1132.56</v>
      </c>
      <c r="J199" s="473">
        <f t="shared" si="132"/>
        <v>1</v>
      </c>
      <c r="K199" s="474">
        <f t="shared" si="133"/>
        <v>611072.74799999991</v>
      </c>
      <c r="L199" s="474">
        <f t="shared" si="134"/>
        <v>0</v>
      </c>
      <c r="M199" s="474">
        <f t="shared" si="135"/>
        <v>611072.74799999991</v>
      </c>
      <c r="N199" s="466"/>
    </row>
    <row r="200" spans="1:14">
      <c r="A200" s="467">
        <v>2.04</v>
      </c>
      <c r="B200" s="508" t="s">
        <v>253</v>
      </c>
      <c r="C200" s="469">
        <v>943.80000000000007</v>
      </c>
      <c r="D200" s="479" t="s">
        <v>38</v>
      </c>
      <c r="E200" s="505">
        <v>247.5</v>
      </c>
      <c r="F200" s="488">
        <v>233590.5</v>
      </c>
      <c r="G200" s="463">
        <v>943.80000000000007</v>
      </c>
      <c r="H200" s="463"/>
      <c r="I200" s="472">
        <f t="shared" si="131"/>
        <v>943.80000000000007</v>
      </c>
      <c r="J200" s="473">
        <f t="shared" si="132"/>
        <v>1</v>
      </c>
      <c r="K200" s="474">
        <f t="shared" si="133"/>
        <v>233590.50000000003</v>
      </c>
      <c r="L200" s="474">
        <f t="shared" si="134"/>
        <v>0</v>
      </c>
      <c r="M200" s="474">
        <f t="shared" si="135"/>
        <v>233590.50000000003</v>
      </c>
      <c r="N200" s="466"/>
    </row>
    <row r="201" spans="1:14" ht="24">
      <c r="A201" s="467">
        <v>2.0499999999999998</v>
      </c>
      <c r="B201" s="508" t="s">
        <v>371</v>
      </c>
      <c r="C201" s="469">
        <v>566.28</v>
      </c>
      <c r="D201" s="479" t="s">
        <v>38</v>
      </c>
      <c r="E201" s="505">
        <v>762.3</v>
      </c>
      <c r="F201" s="488">
        <v>431675.24</v>
      </c>
      <c r="G201" s="460">
        <v>566.28</v>
      </c>
      <c r="H201" s="460"/>
      <c r="I201" s="472">
        <f t="shared" si="131"/>
        <v>566.28</v>
      </c>
      <c r="J201" s="473">
        <f t="shared" si="132"/>
        <v>1</v>
      </c>
      <c r="K201" s="474">
        <f t="shared" si="133"/>
        <v>431675.24399999995</v>
      </c>
      <c r="L201" s="474">
        <f t="shared" si="134"/>
        <v>0</v>
      </c>
      <c r="M201" s="474">
        <f t="shared" si="135"/>
        <v>431675.24399999995</v>
      </c>
      <c r="N201" s="466"/>
    </row>
    <row r="202" spans="1:14" s="493" customFormat="1" ht="12.75">
      <c r="A202" s="476">
        <v>3</v>
      </c>
      <c r="B202" s="506" t="s">
        <v>45</v>
      </c>
      <c r="C202" s="507"/>
      <c r="D202" s="497"/>
      <c r="E202" s="498"/>
      <c r="F202" s="498"/>
      <c r="G202" s="482"/>
      <c r="H202" s="482"/>
      <c r="I202" s="483"/>
      <c r="J202" s="482"/>
      <c r="K202" s="503"/>
      <c r="L202" s="503"/>
      <c r="M202" s="503"/>
      <c r="N202" s="492"/>
    </row>
    <row r="203" spans="1:14" ht="24">
      <c r="A203" s="467">
        <v>3.01</v>
      </c>
      <c r="B203" s="508" t="s">
        <v>494</v>
      </c>
      <c r="C203" s="469">
        <v>2883.37</v>
      </c>
      <c r="D203" s="479" t="s">
        <v>30</v>
      </c>
      <c r="E203" s="505">
        <v>1103.2438300811602</v>
      </c>
      <c r="F203" s="488">
        <v>3181060.1623411151</v>
      </c>
      <c r="G203" s="460">
        <v>2883.37</v>
      </c>
      <c r="H203" s="472"/>
      <c r="I203" s="472">
        <f t="shared" ref="I203" si="136">G203+H203</f>
        <v>2883.37</v>
      </c>
      <c r="J203" s="473">
        <f t="shared" ref="J203" si="137">I203/C203</f>
        <v>1</v>
      </c>
      <c r="K203" s="474">
        <f t="shared" ref="K203" si="138">G203*E203</f>
        <v>3181060.1623411151</v>
      </c>
      <c r="L203" s="474">
        <f t="shared" ref="L203" si="139">H203*E203</f>
        <v>0</v>
      </c>
      <c r="M203" s="474">
        <f t="shared" ref="M203" si="140">K203+L203</f>
        <v>3181060.1623411151</v>
      </c>
      <c r="N203" s="466"/>
    </row>
    <row r="204" spans="1:14" s="493" customFormat="1" ht="12.75">
      <c r="A204" s="476">
        <v>4</v>
      </c>
      <c r="B204" s="506" t="s">
        <v>374</v>
      </c>
      <c r="C204" s="496"/>
      <c r="D204" s="497"/>
      <c r="E204" s="498"/>
      <c r="F204" s="498"/>
      <c r="G204" s="502"/>
      <c r="H204" s="482"/>
      <c r="I204" s="483"/>
      <c r="J204" s="482"/>
      <c r="K204" s="503"/>
      <c r="L204" s="503"/>
      <c r="M204" s="503"/>
      <c r="N204" s="492"/>
    </row>
    <row r="205" spans="1:14">
      <c r="A205" s="467">
        <v>4.01</v>
      </c>
      <c r="B205" s="508" t="s">
        <v>495</v>
      </c>
      <c r="C205" s="469">
        <v>2860</v>
      </c>
      <c r="D205" s="479" t="s">
        <v>30</v>
      </c>
      <c r="E205" s="505">
        <v>65</v>
      </c>
      <c r="F205" s="488">
        <v>185900</v>
      </c>
      <c r="G205" s="460">
        <v>2860</v>
      </c>
      <c r="H205" s="472"/>
      <c r="I205" s="472">
        <f t="shared" ref="I205" si="141">G205+H205</f>
        <v>2860</v>
      </c>
      <c r="J205" s="473">
        <f t="shared" ref="J205" si="142">I205/C205</f>
        <v>1</v>
      </c>
      <c r="K205" s="474">
        <f t="shared" ref="K205" si="143">G205*E205</f>
        <v>185900</v>
      </c>
      <c r="L205" s="474">
        <f t="shared" ref="L205" si="144">H205*E205</f>
        <v>0</v>
      </c>
      <c r="M205" s="474">
        <f t="shared" ref="M205" si="145">K205+L205</f>
        <v>185900</v>
      </c>
      <c r="N205" s="466"/>
    </row>
    <row r="206" spans="1:14" s="493" customFormat="1" ht="12.75">
      <c r="A206" s="476">
        <v>5</v>
      </c>
      <c r="B206" s="506" t="s">
        <v>483</v>
      </c>
      <c r="C206" s="507"/>
      <c r="D206" s="497"/>
      <c r="E206" s="498"/>
      <c r="F206" s="498"/>
      <c r="G206" s="482"/>
      <c r="H206" s="482"/>
      <c r="I206" s="483"/>
      <c r="J206" s="482"/>
      <c r="K206" s="503"/>
      <c r="L206" s="503"/>
      <c r="M206" s="503"/>
      <c r="N206" s="492"/>
    </row>
    <row r="207" spans="1:14">
      <c r="A207" s="467">
        <v>5.01</v>
      </c>
      <c r="B207" s="508" t="s">
        <v>496</v>
      </c>
      <c r="C207" s="469">
        <v>119.63</v>
      </c>
      <c r="D207" s="479" t="s">
        <v>30</v>
      </c>
      <c r="E207" s="505">
        <v>7309.4523762376239</v>
      </c>
      <c r="F207" s="488">
        <v>874429.78776930692</v>
      </c>
      <c r="G207" s="460">
        <v>119.63000000000001</v>
      </c>
      <c r="H207" s="472"/>
      <c r="I207" s="472">
        <f t="shared" ref="I207:I208" si="146">G207+H207</f>
        <v>119.63000000000001</v>
      </c>
      <c r="J207" s="473">
        <f t="shared" ref="J207:J208" si="147">I207/C207</f>
        <v>1.0000000000000002</v>
      </c>
      <c r="K207" s="474">
        <f t="shared" ref="K207:K208" si="148">G207*E207</f>
        <v>874429.78776930703</v>
      </c>
      <c r="L207" s="474">
        <f t="shared" ref="L207:L208" si="149">H207*E207</f>
        <v>0</v>
      </c>
      <c r="M207" s="474">
        <f t="shared" ref="M207:M208" si="150">K207+L207</f>
        <v>874429.78776930703</v>
      </c>
      <c r="N207" s="466"/>
    </row>
    <row r="208" spans="1:14">
      <c r="A208" s="467">
        <v>5.0199999999999996</v>
      </c>
      <c r="B208" s="508" t="s">
        <v>485</v>
      </c>
      <c r="C208" s="469">
        <v>7</v>
      </c>
      <c r="D208" s="479" t="s">
        <v>50</v>
      </c>
      <c r="E208" s="505">
        <v>6509.6</v>
      </c>
      <c r="F208" s="488">
        <v>45567.200000000004</v>
      </c>
      <c r="G208" s="463">
        <v>0</v>
      </c>
      <c r="H208" s="472"/>
      <c r="I208" s="472">
        <f t="shared" si="146"/>
        <v>0</v>
      </c>
      <c r="J208" s="473">
        <f t="shared" si="147"/>
        <v>0</v>
      </c>
      <c r="K208" s="474">
        <f t="shared" si="148"/>
        <v>0</v>
      </c>
      <c r="L208" s="474">
        <f t="shared" si="149"/>
        <v>0</v>
      </c>
      <c r="M208" s="474">
        <f t="shared" si="150"/>
        <v>0</v>
      </c>
      <c r="N208" s="466"/>
    </row>
    <row r="209" spans="1:14" s="493" customFormat="1" ht="12.75">
      <c r="A209" s="476">
        <v>6</v>
      </c>
      <c r="B209" s="506" t="s">
        <v>486</v>
      </c>
      <c r="C209" s="496"/>
      <c r="D209" s="497"/>
      <c r="E209" s="498"/>
      <c r="F209" s="498"/>
      <c r="G209" s="482"/>
      <c r="H209" s="482"/>
      <c r="I209" s="527"/>
      <c r="J209" s="482"/>
      <c r="K209" s="528"/>
      <c r="L209" s="529"/>
      <c r="M209" s="529"/>
      <c r="N209" s="492"/>
    </row>
    <row r="210" spans="1:14" s="545" customFormat="1" ht="12.75">
      <c r="A210" s="467">
        <v>6.01</v>
      </c>
      <c r="B210" s="508" t="s">
        <v>497</v>
      </c>
      <c r="C210" s="469">
        <v>2</v>
      </c>
      <c r="D210" s="479" t="s">
        <v>50</v>
      </c>
      <c r="E210" s="505">
        <v>5344.9849999999997</v>
      </c>
      <c r="F210" s="488">
        <v>10689.97</v>
      </c>
      <c r="G210" s="460">
        <v>2</v>
      </c>
      <c r="H210" s="472"/>
      <c r="I210" s="472">
        <f t="shared" ref="I210:I213" si="151">G210+H210</f>
        <v>2</v>
      </c>
      <c r="J210" s="473">
        <f t="shared" ref="J210:J213" si="152">I210/C210</f>
        <v>1</v>
      </c>
      <c r="K210" s="474">
        <f t="shared" ref="K210:K213" si="153">G210*E210</f>
        <v>10689.97</v>
      </c>
      <c r="L210" s="474">
        <f t="shared" ref="L210:L213" si="154">H210*E210</f>
        <v>0</v>
      </c>
      <c r="M210" s="474">
        <f t="shared" ref="M210:M213" si="155">K210+L210</f>
        <v>10689.97</v>
      </c>
      <c r="N210" s="544"/>
    </row>
    <row r="211" spans="1:14" s="545" customFormat="1" ht="12.75">
      <c r="A211" s="467">
        <v>6.02</v>
      </c>
      <c r="B211" s="508" t="s">
        <v>498</v>
      </c>
      <c r="C211" s="469">
        <v>1</v>
      </c>
      <c r="D211" s="479" t="s">
        <v>50</v>
      </c>
      <c r="E211" s="505">
        <v>5466.2849999999999</v>
      </c>
      <c r="F211" s="488">
        <v>5466.2849999999999</v>
      </c>
      <c r="G211" s="463">
        <v>1</v>
      </c>
      <c r="H211" s="472"/>
      <c r="I211" s="472">
        <f t="shared" si="151"/>
        <v>1</v>
      </c>
      <c r="J211" s="473">
        <f t="shared" si="152"/>
        <v>1</v>
      </c>
      <c r="K211" s="474">
        <f t="shared" si="153"/>
        <v>5466.2849999999999</v>
      </c>
      <c r="L211" s="474">
        <f t="shared" si="154"/>
        <v>0</v>
      </c>
      <c r="M211" s="474">
        <f t="shared" si="155"/>
        <v>5466.2849999999999</v>
      </c>
      <c r="N211" s="544"/>
    </row>
    <row r="212" spans="1:14" s="545" customFormat="1" ht="12.75">
      <c r="A212" s="489">
        <v>6.03</v>
      </c>
      <c r="B212" s="508" t="s">
        <v>499</v>
      </c>
      <c r="C212" s="490">
        <v>4</v>
      </c>
      <c r="D212" s="479" t="s">
        <v>50</v>
      </c>
      <c r="E212" s="510">
        <v>4931.9849999999997</v>
      </c>
      <c r="F212" s="491">
        <v>19727.939999999999</v>
      </c>
      <c r="G212" s="463">
        <v>4</v>
      </c>
      <c r="H212" s="472"/>
      <c r="I212" s="472">
        <f t="shared" si="151"/>
        <v>4</v>
      </c>
      <c r="J212" s="473">
        <f t="shared" si="152"/>
        <v>1</v>
      </c>
      <c r="K212" s="474">
        <f t="shared" si="153"/>
        <v>19727.939999999999</v>
      </c>
      <c r="L212" s="474">
        <f t="shared" si="154"/>
        <v>0</v>
      </c>
      <c r="M212" s="474">
        <f t="shared" si="155"/>
        <v>19727.939999999999</v>
      </c>
      <c r="N212" s="544"/>
    </row>
    <row r="213" spans="1:14" s="545" customFormat="1" ht="12.75">
      <c r="A213" s="467">
        <v>6.04</v>
      </c>
      <c r="B213" s="508" t="s">
        <v>500</v>
      </c>
      <c r="C213" s="469">
        <v>2</v>
      </c>
      <c r="D213" s="479" t="s">
        <v>50</v>
      </c>
      <c r="E213" s="505">
        <v>4931.9849999999997</v>
      </c>
      <c r="F213" s="488">
        <v>9863.9699999999993</v>
      </c>
      <c r="G213" s="463">
        <v>2</v>
      </c>
      <c r="H213" s="472"/>
      <c r="I213" s="472">
        <f t="shared" si="151"/>
        <v>2</v>
      </c>
      <c r="J213" s="473">
        <f t="shared" si="152"/>
        <v>1</v>
      </c>
      <c r="K213" s="474">
        <f t="shared" si="153"/>
        <v>9863.9699999999993</v>
      </c>
      <c r="L213" s="474">
        <f t="shared" si="154"/>
        <v>0</v>
      </c>
      <c r="M213" s="474">
        <f t="shared" si="155"/>
        <v>9863.9699999999993</v>
      </c>
      <c r="N213" s="544"/>
    </row>
    <row r="214" spans="1:14" s="493" customFormat="1" ht="12.75">
      <c r="A214" s="476">
        <v>7</v>
      </c>
      <c r="B214" s="506" t="s">
        <v>487</v>
      </c>
      <c r="C214" s="496"/>
      <c r="D214" s="497"/>
      <c r="E214" s="498"/>
      <c r="F214" s="498"/>
      <c r="G214" s="482"/>
      <c r="H214" s="482"/>
      <c r="I214" s="483"/>
      <c r="J214" s="482"/>
      <c r="K214" s="503"/>
      <c r="L214" s="503"/>
      <c r="M214" s="503"/>
      <c r="N214" s="492"/>
    </row>
    <row r="215" spans="1:14" ht="24">
      <c r="A215" s="467">
        <v>7.01</v>
      </c>
      <c r="B215" s="508" t="s">
        <v>501</v>
      </c>
      <c r="C215" s="469">
        <v>1</v>
      </c>
      <c r="D215" s="479" t="s">
        <v>50</v>
      </c>
      <c r="E215" s="505">
        <v>8546.7800000000007</v>
      </c>
      <c r="F215" s="488">
        <v>8546.7800000000007</v>
      </c>
      <c r="G215" s="460">
        <v>1</v>
      </c>
      <c r="H215" s="472"/>
      <c r="I215" s="472">
        <f t="shared" ref="I215:I220" si="156">G215+H215</f>
        <v>1</v>
      </c>
      <c r="J215" s="473">
        <f t="shared" ref="J215:J220" si="157">I215/C215</f>
        <v>1</v>
      </c>
      <c r="K215" s="474">
        <f t="shared" ref="K215:K220" si="158">G215*E215</f>
        <v>8546.7800000000007</v>
      </c>
      <c r="L215" s="474">
        <f t="shared" ref="L215:L220" si="159">H215*E215</f>
        <v>0</v>
      </c>
      <c r="M215" s="474">
        <f t="shared" ref="M215:M220" si="160">K215+L215</f>
        <v>8546.7800000000007</v>
      </c>
      <c r="N215" s="466"/>
    </row>
    <row r="216" spans="1:14">
      <c r="A216" s="467">
        <v>7.02</v>
      </c>
      <c r="B216" s="508" t="s">
        <v>502</v>
      </c>
      <c r="C216" s="469">
        <v>2</v>
      </c>
      <c r="D216" s="479" t="s">
        <v>50</v>
      </c>
      <c r="E216" s="505">
        <v>16559.57</v>
      </c>
      <c r="F216" s="488">
        <v>33119.14</v>
      </c>
      <c r="G216" s="463">
        <v>2</v>
      </c>
      <c r="H216" s="472"/>
      <c r="I216" s="472">
        <f t="shared" si="156"/>
        <v>2</v>
      </c>
      <c r="J216" s="473">
        <f t="shared" si="157"/>
        <v>1</v>
      </c>
      <c r="K216" s="474">
        <f t="shared" si="158"/>
        <v>33119.14</v>
      </c>
      <c r="L216" s="474">
        <f t="shared" si="159"/>
        <v>0</v>
      </c>
      <c r="M216" s="474">
        <f t="shared" si="160"/>
        <v>33119.14</v>
      </c>
      <c r="N216" s="466"/>
    </row>
    <row r="217" spans="1:14" ht="24">
      <c r="A217" s="467">
        <v>7.03</v>
      </c>
      <c r="B217" s="508" t="s">
        <v>503</v>
      </c>
      <c r="C217" s="469">
        <v>4</v>
      </c>
      <c r="D217" s="479" t="s">
        <v>50</v>
      </c>
      <c r="E217" s="505">
        <v>20136.03</v>
      </c>
      <c r="F217" s="488">
        <v>80544.12</v>
      </c>
      <c r="G217" s="463">
        <v>4</v>
      </c>
      <c r="H217" s="472"/>
      <c r="I217" s="472">
        <f t="shared" si="156"/>
        <v>4</v>
      </c>
      <c r="J217" s="473">
        <f t="shared" si="157"/>
        <v>1</v>
      </c>
      <c r="K217" s="474">
        <f t="shared" si="158"/>
        <v>80544.12</v>
      </c>
      <c r="L217" s="474">
        <f t="shared" si="159"/>
        <v>0</v>
      </c>
      <c r="M217" s="474">
        <f t="shared" si="160"/>
        <v>80544.12</v>
      </c>
      <c r="N217" s="466"/>
    </row>
    <row r="218" spans="1:14" s="533" customFormat="1" ht="15.95" customHeight="1">
      <c r="A218" s="489">
        <v>7.04</v>
      </c>
      <c r="B218" s="508" t="s">
        <v>504</v>
      </c>
      <c r="C218" s="490">
        <v>2</v>
      </c>
      <c r="D218" s="479" t="s">
        <v>50</v>
      </c>
      <c r="E218" s="510">
        <v>49155.61</v>
      </c>
      <c r="F218" s="491">
        <v>98311.22</v>
      </c>
      <c r="G218" s="525">
        <v>2</v>
      </c>
      <c r="H218" s="472"/>
      <c r="I218" s="472">
        <f t="shared" si="156"/>
        <v>2</v>
      </c>
      <c r="J218" s="473">
        <f t="shared" si="157"/>
        <v>1</v>
      </c>
      <c r="K218" s="474">
        <f t="shared" si="158"/>
        <v>98311.22</v>
      </c>
      <c r="L218" s="474">
        <f t="shared" si="159"/>
        <v>0</v>
      </c>
      <c r="M218" s="474">
        <f t="shared" si="160"/>
        <v>98311.22</v>
      </c>
      <c r="N218" s="532"/>
    </row>
    <row r="219" spans="1:14" s="533" customFormat="1" ht="17.100000000000001" customHeight="1">
      <c r="A219" s="489">
        <v>7.05</v>
      </c>
      <c r="B219" s="508" t="s">
        <v>505</v>
      </c>
      <c r="C219" s="490">
        <v>1</v>
      </c>
      <c r="D219" s="479" t="s">
        <v>50</v>
      </c>
      <c r="E219" s="510">
        <v>38341.620000000003</v>
      </c>
      <c r="F219" s="491">
        <v>38341.620000000003</v>
      </c>
      <c r="G219" s="534">
        <v>1</v>
      </c>
      <c r="H219" s="472"/>
      <c r="I219" s="472">
        <f t="shared" si="156"/>
        <v>1</v>
      </c>
      <c r="J219" s="473">
        <f t="shared" si="157"/>
        <v>1</v>
      </c>
      <c r="K219" s="474">
        <f t="shared" si="158"/>
        <v>38341.620000000003</v>
      </c>
      <c r="L219" s="474">
        <f t="shared" si="159"/>
        <v>0</v>
      </c>
      <c r="M219" s="474">
        <f t="shared" si="160"/>
        <v>38341.620000000003</v>
      </c>
      <c r="N219" s="532"/>
    </row>
    <row r="220" spans="1:14">
      <c r="A220" s="467">
        <v>7.06</v>
      </c>
      <c r="B220" s="508" t="s">
        <v>506</v>
      </c>
      <c r="C220" s="469">
        <v>1</v>
      </c>
      <c r="D220" s="479" t="s">
        <v>50</v>
      </c>
      <c r="E220" s="505">
        <v>57553.99</v>
      </c>
      <c r="F220" s="488">
        <v>57553.99</v>
      </c>
      <c r="G220" s="460">
        <v>1</v>
      </c>
      <c r="H220" s="472"/>
      <c r="I220" s="472">
        <f t="shared" si="156"/>
        <v>1</v>
      </c>
      <c r="J220" s="473">
        <f t="shared" si="157"/>
        <v>1</v>
      </c>
      <c r="K220" s="474">
        <f t="shared" si="158"/>
        <v>57553.99</v>
      </c>
      <c r="L220" s="474">
        <f t="shared" si="159"/>
        <v>0</v>
      </c>
      <c r="M220" s="474">
        <f t="shared" si="160"/>
        <v>57553.99</v>
      </c>
      <c r="N220" s="466"/>
    </row>
    <row r="221" spans="1:14" s="493" customFormat="1" ht="12.75">
      <c r="A221" s="476">
        <v>8</v>
      </c>
      <c r="B221" s="506" t="s">
        <v>507</v>
      </c>
      <c r="C221" s="496"/>
      <c r="D221" s="497"/>
      <c r="E221" s="481"/>
      <c r="F221" s="481"/>
      <c r="G221" s="502"/>
      <c r="H221" s="482"/>
      <c r="I221" s="483"/>
      <c r="J221" s="482"/>
      <c r="K221" s="503"/>
      <c r="L221" s="503"/>
      <c r="M221" s="503"/>
      <c r="N221" s="492"/>
    </row>
    <row r="222" spans="1:14">
      <c r="A222" s="467">
        <v>8.01</v>
      </c>
      <c r="B222" s="508" t="s">
        <v>508</v>
      </c>
      <c r="C222" s="469">
        <v>1</v>
      </c>
      <c r="D222" s="479" t="s">
        <v>380</v>
      </c>
      <c r="E222" s="488">
        <v>15000</v>
      </c>
      <c r="F222" s="488">
        <v>15000</v>
      </c>
      <c r="G222" s="460">
        <v>0</v>
      </c>
      <c r="H222" s="472"/>
      <c r="I222" s="472">
        <f t="shared" ref="I222" si="161">G222+H222</f>
        <v>0</v>
      </c>
      <c r="J222" s="473">
        <f t="shared" ref="J222" si="162">I222/C222</f>
        <v>0</v>
      </c>
      <c r="K222" s="474">
        <f t="shared" ref="K222" si="163">G222*E222</f>
        <v>0</v>
      </c>
      <c r="L222" s="474">
        <f t="shared" ref="L222" si="164">H222*E222</f>
        <v>0</v>
      </c>
      <c r="M222" s="474">
        <f t="shared" ref="M222" si="165">K222+L222</f>
        <v>0</v>
      </c>
      <c r="N222" s="466"/>
    </row>
    <row r="223" spans="1:14" s="493" customFormat="1" ht="12.75">
      <c r="A223" s="476">
        <v>9</v>
      </c>
      <c r="B223" s="506" t="s">
        <v>414</v>
      </c>
      <c r="C223" s="496"/>
      <c r="D223" s="497"/>
      <c r="E223" s="498"/>
      <c r="F223" s="498"/>
      <c r="G223" s="482"/>
      <c r="H223" s="482"/>
      <c r="I223" s="483"/>
      <c r="J223" s="482"/>
      <c r="K223" s="503"/>
      <c r="L223" s="503"/>
      <c r="M223" s="503"/>
      <c r="N223" s="492"/>
    </row>
    <row r="224" spans="1:14" s="515" customFormat="1" ht="18" customHeight="1">
      <c r="A224" s="489">
        <v>9.01</v>
      </c>
      <c r="B224" s="508" t="s">
        <v>382</v>
      </c>
      <c r="C224" s="490">
        <v>100.8</v>
      </c>
      <c r="D224" s="479" t="s">
        <v>189</v>
      </c>
      <c r="E224" s="546">
        <v>280</v>
      </c>
      <c r="F224" s="491">
        <v>28224</v>
      </c>
      <c r="G224" s="460">
        <v>0</v>
      </c>
      <c r="H224" s="472"/>
      <c r="I224" s="472">
        <f t="shared" ref="I224" si="166">G224+H224</f>
        <v>0</v>
      </c>
      <c r="J224" s="473">
        <f t="shared" ref="J224" si="167">I224/C224</f>
        <v>0</v>
      </c>
      <c r="K224" s="474">
        <f t="shared" ref="K224" si="168">G224*E224</f>
        <v>0</v>
      </c>
      <c r="L224" s="474">
        <f t="shared" ref="L224" si="169">H224*E224</f>
        <v>0</v>
      </c>
      <c r="M224" s="474">
        <f t="shared" ref="M224" si="170">K224+L224</f>
        <v>0</v>
      </c>
      <c r="N224" s="514"/>
    </row>
    <row r="225" spans="1:14" s="493" customFormat="1" ht="12.75">
      <c r="A225" s="526"/>
      <c r="B225" s="477" t="s">
        <v>44</v>
      </c>
      <c r="C225" s="507"/>
      <c r="D225" s="497"/>
      <c r="E225" s="498"/>
      <c r="F225" s="481">
        <f>SUM(F195:F224)</f>
        <v>6675419.2751104226</v>
      </c>
      <c r="G225" s="502"/>
      <c r="H225" s="482"/>
      <c r="I225" s="527"/>
      <c r="J225" s="482"/>
      <c r="K225" s="547">
        <f>SUM(K195:K224)</f>
        <v>6586628.0771104228</v>
      </c>
      <c r="L225" s="548">
        <f>SUM(L195:L224)</f>
        <v>0</v>
      </c>
      <c r="M225" s="548">
        <f>K225+L225</f>
        <v>6586628.0771104228</v>
      </c>
      <c r="N225" s="492"/>
    </row>
    <row r="226" spans="1:14" ht="24">
      <c r="A226" s="495" t="s">
        <v>228</v>
      </c>
      <c r="B226" s="506" t="s">
        <v>509</v>
      </c>
      <c r="C226" s="469"/>
      <c r="D226" s="479"/>
      <c r="E226" s="480"/>
      <c r="F226" s="480"/>
      <c r="G226" s="463"/>
      <c r="H226" s="463"/>
      <c r="I226" s="499"/>
      <c r="J226" s="463"/>
      <c r="K226" s="464"/>
      <c r="L226" s="464"/>
      <c r="M226" s="464"/>
      <c r="N226" s="466"/>
    </row>
    <row r="227" spans="1:14" s="493" customFormat="1" ht="12.75">
      <c r="A227" s="476">
        <v>1</v>
      </c>
      <c r="B227" s="506" t="s">
        <v>365</v>
      </c>
      <c r="C227" s="469"/>
      <c r="D227" s="479"/>
      <c r="E227" s="480"/>
      <c r="F227" s="480"/>
      <c r="G227" s="502"/>
      <c r="H227" s="482"/>
      <c r="I227" s="483"/>
      <c r="J227" s="482"/>
      <c r="K227" s="528"/>
      <c r="L227" s="529"/>
      <c r="M227" s="529"/>
      <c r="N227" s="492"/>
    </row>
    <row r="228" spans="1:14">
      <c r="A228" s="467">
        <v>1.1000000000000001</v>
      </c>
      <c r="B228" s="508" t="s">
        <v>29</v>
      </c>
      <c r="C228" s="469">
        <v>5230</v>
      </c>
      <c r="D228" s="479" t="s">
        <v>264</v>
      </c>
      <c r="E228" s="488">
        <v>60</v>
      </c>
      <c r="F228" s="488">
        <v>313800</v>
      </c>
      <c r="G228" s="460">
        <v>5230</v>
      </c>
      <c r="H228" s="472"/>
      <c r="I228" s="472">
        <f t="shared" ref="I228" si="171">G228+H228</f>
        <v>5230</v>
      </c>
      <c r="J228" s="473">
        <f t="shared" ref="J228" si="172">I228/C228</f>
        <v>1</v>
      </c>
      <c r="K228" s="474">
        <f t="shared" ref="K228" si="173">G228*E228</f>
        <v>313800</v>
      </c>
      <c r="L228" s="474">
        <f t="shared" ref="L228" si="174">H228*E228</f>
        <v>0</v>
      </c>
      <c r="M228" s="474">
        <f t="shared" ref="M228" si="175">K228+L228</f>
        <v>313800</v>
      </c>
      <c r="N228" s="466"/>
    </row>
    <row r="229" spans="1:14">
      <c r="A229" s="476">
        <v>2</v>
      </c>
      <c r="B229" s="506" t="s">
        <v>250</v>
      </c>
      <c r="C229" s="469"/>
      <c r="D229" s="479"/>
      <c r="E229" s="480"/>
      <c r="F229" s="480"/>
      <c r="G229" s="463"/>
      <c r="H229" s="463"/>
      <c r="I229" s="499"/>
      <c r="J229" s="463"/>
      <c r="K229" s="464"/>
      <c r="L229" s="464"/>
      <c r="M229" s="464"/>
      <c r="N229" s="466"/>
    </row>
    <row r="230" spans="1:14">
      <c r="A230" s="467">
        <v>2.0099999999999998</v>
      </c>
      <c r="B230" s="508" t="s">
        <v>37</v>
      </c>
      <c r="C230" s="469">
        <v>4210.1499999999987</v>
      </c>
      <c r="D230" s="479" t="s">
        <v>38</v>
      </c>
      <c r="E230" s="488">
        <v>198</v>
      </c>
      <c r="F230" s="488">
        <v>833609.7</v>
      </c>
      <c r="G230" s="460">
        <v>4210.1499999999987</v>
      </c>
      <c r="H230" s="472"/>
      <c r="I230" s="472">
        <f t="shared" ref="I230:I234" si="176">G230+H230</f>
        <v>4210.1499999999987</v>
      </c>
      <c r="J230" s="473">
        <f t="shared" ref="J230:J234" si="177">I230/C230</f>
        <v>1</v>
      </c>
      <c r="K230" s="474">
        <f t="shared" ref="K230:K234" si="178">G230*E230</f>
        <v>833609.69999999972</v>
      </c>
      <c r="L230" s="474">
        <f t="shared" ref="L230:L234" si="179">H230*E230</f>
        <v>0</v>
      </c>
      <c r="M230" s="474">
        <f t="shared" ref="M230:M234" si="180">K230+L230</f>
        <v>833609.69999999972</v>
      </c>
      <c r="N230" s="466"/>
    </row>
    <row r="231" spans="1:14">
      <c r="A231" s="467">
        <v>2.02</v>
      </c>
      <c r="B231" s="508" t="s">
        <v>369</v>
      </c>
      <c r="C231" s="469">
        <v>366.09999999999997</v>
      </c>
      <c r="D231" s="479" t="s">
        <v>38</v>
      </c>
      <c r="E231" s="488">
        <v>940.5</v>
      </c>
      <c r="F231" s="488">
        <v>344317.05</v>
      </c>
      <c r="G231" s="460">
        <v>366.09999999999997</v>
      </c>
      <c r="H231" s="472"/>
      <c r="I231" s="472">
        <f t="shared" si="176"/>
        <v>366.09999999999997</v>
      </c>
      <c r="J231" s="473">
        <f t="shared" si="177"/>
        <v>1</v>
      </c>
      <c r="K231" s="474">
        <f t="shared" si="178"/>
        <v>344317.05</v>
      </c>
      <c r="L231" s="474">
        <f t="shared" si="179"/>
        <v>0</v>
      </c>
      <c r="M231" s="474">
        <f t="shared" si="180"/>
        <v>344317.05</v>
      </c>
      <c r="N231" s="466"/>
    </row>
    <row r="232" spans="1:14">
      <c r="A232" s="467">
        <v>2.0299999999999998</v>
      </c>
      <c r="B232" s="508" t="s">
        <v>370</v>
      </c>
      <c r="C232" s="469">
        <v>2526.0899999999992</v>
      </c>
      <c r="D232" s="479" t="s">
        <v>38</v>
      </c>
      <c r="E232" s="488">
        <v>539.54999999999995</v>
      </c>
      <c r="F232" s="488">
        <v>1362951.86</v>
      </c>
      <c r="G232" s="460">
        <v>2526.0899999999992</v>
      </c>
      <c r="H232" s="472"/>
      <c r="I232" s="472">
        <f t="shared" si="176"/>
        <v>2526.0899999999992</v>
      </c>
      <c r="J232" s="473">
        <f t="shared" si="177"/>
        <v>1</v>
      </c>
      <c r="K232" s="474">
        <f t="shared" si="178"/>
        <v>1362951.8594999996</v>
      </c>
      <c r="L232" s="474">
        <f t="shared" si="179"/>
        <v>0</v>
      </c>
      <c r="M232" s="474">
        <f t="shared" si="180"/>
        <v>1362951.8594999996</v>
      </c>
      <c r="N232" s="466"/>
    </row>
    <row r="233" spans="1:14" s="493" customFormat="1" ht="12.75">
      <c r="A233" s="467">
        <v>2.04</v>
      </c>
      <c r="B233" s="508" t="s">
        <v>253</v>
      </c>
      <c r="C233" s="469">
        <v>2105.0749999999994</v>
      </c>
      <c r="D233" s="479" t="s">
        <v>38</v>
      </c>
      <c r="E233" s="488">
        <v>247.5</v>
      </c>
      <c r="F233" s="488">
        <v>521006.06</v>
      </c>
      <c r="G233" s="460">
        <v>2105.0749999999994</v>
      </c>
      <c r="H233" s="472"/>
      <c r="I233" s="472">
        <f t="shared" si="176"/>
        <v>2105.0749999999994</v>
      </c>
      <c r="J233" s="473">
        <f t="shared" si="177"/>
        <v>1</v>
      </c>
      <c r="K233" s="474">
        <f t="shared" si="178"/>
        <v>521006.06249999983</v>
      </c>
      <c r="L233" s="474">
        <f t="shared" si="179"/>
        <v>0</v>
      </c>
      <c r="M233" s="474">
        <f t="shared" si="180"/>
        <v>521006.06249999983</v>
      </c>
      <c r="N233" s="492"/>
    </row>
    <row r="234" spans="1:14" ht="24">
      <c r="A234" s="467">
        <v>2.0499999999999998</v>
      </c>
      <c r="B234" s="508" t="s">
        <v>371</v>
      </c>
      <c r="C234" s="469">
        <v>1684.0599999999995</v>
      </c>
      <c r="D234" s="479" t="s">
        <v>38</v>
      </c>
      <c r="E234" s="488">
        <v>762.3</v>
      </c>
      <c r="F234" s="488">
        <v>1283758.94</v>
      </c>
      <c r="G234" s="460">
        <v>1684.0599999999995</v>
      </c>
      <c r="H234" s="472"/>
      <c r="I234" s="472">
        <f t="shared" si="176"/>
        <v>1684.0599999999995</v>
      </c>
      <c r="J234" s="473">
        <f t="shared" si="177"/>
        <v>1</v>
      </c>
      <c r="K234" s="474">
        <f t="shared" si="178"/>
        <v>1283758.9379999996</v>
      </c>
      <c r="L234" s="474">
        <f t="shared" si="179"/>
        <v>0</v>
      </c>
      <c r="M234" s="474">
        <f t="shared" si="180"/>
        <v>1283758.9379999996</v>
      </c>
      <c r="N234" s="466"/>
    </row>
    <row r="235" spans="1:14" s="493" customFormat="1" ht="12.75">
      <c r="A235" s="476">
        <v>3</v>
      </c>
      <c r="B235" s="506" t="s">
        <v>372</v>
      </c>
      <c r="C235" s="478"/>
      <c r="D235" s="479"/>
      <c r="E235" s="480"/>
      <c r="F235" s="480"/>
      <c r="G235" s="482"/>
      <c r="H235" s="502"/>
      <c r="I235" s="527"/>
      <c r="J235" s="482"/>
      <c r="K235" s="528"/>
      <c r="L235" s="529"/>
      <c r="M235" s="529"/>
      <c r="N235" s="492"/>
    </row>
    <row r="236" spans="1:14" ht="24">
      <c r="A236" s="467">
        <v>3.01</v>
      </c>
      <c r="B236" s="508" t="s">
        <v>510</v>
      </c>
      <c r="C236" s="469">
        <v>5491.5</v>
      </c>
      <c r="D236" s="479" t="s">
        <v>30</v>
      </c>
      <c r="E236" s="488">
        <v>2170.976647556553</v>
      </c>
      <c r="F236" s="488">
        <v>11921918.26005681</v>
      </c>
      <c r="G236" s="460">
        <v>5300</v>
      </c>
      <c r="H236" s="472"/>
      <c r="I236" s="472">
        <f t="shared" ref="I236" si="181">G236+H236</f>
        <v>5300</v>
      </c>
      <c r="J236" s="473">
        <f t="shared" ref="J236" si="182">I236/C236</f>
        <v>0.96512792497496125</v>
      </c>
      <c r="K236" s="474">
        <f t="shared" ref="K236" si="183">G236*E236</f>
        <v>11506176.232049732</v>
      </c>
      <c r="L236" s="474">
        <f t="shared" ref="L236" si="184">H236*E236</f>
        <v>0</v>
      </c>
      <c r="M236" s="474">
        <f t="shared" ref="M236" si="185">K236+L236</f>
        <v>11506176.232049732</v>
      </c>
      <c r="N236" s="466"/>
    </row>
    <row r="237" spans="1:14">
      <c r="A237" s="476">
        <v>4</v>
      </c>
      <c r="B237" s="506" t="s">
        <v>374</v>
      </c>
      <c r="C237" s="469"/>
      <c r="D237" s="479"/>
      <c r="E237" s="480"/>
      <c r="F237" s="480"/>
      <c r="G237" s="460"/>
      <c r="H237" s="463"/>
      <c r="I237" s="499"/>
      <c r="J237" s="463"/>
      <c r="K237" s="464"/>
      <c r="L237" s="464"/>
      <c r="M237" s="464"/>
      <c r="N237" s="549"/>
    </row>
    <row r="238" spans="1:14" s="493" customFormat="1" ht="12.75">
      <c r="A238" s="467">
        <v>4.01</v>
      </c>
      <c r="B238" s="508" t="s">
        <v>511</v>
      </c>
      <c r="C238" s="469">
        <v>5230</v>
      </c>
      <c r="D238" s="479" t="s">
        <v>30</v>
      </c>
      <c r="E238" s="488">
        <v>70</v>
      </c>
      <c r="F238" s="488">
        <v>366100</v>
      </c>
      <c r="G238" s="460">
        <v>5230</v>
      </c>
      <c r="H238" s="472"/>
      <c r="I238" s="472">
        <f t="shared" ref="I238" si="186">G238+H238</f>
        <v>5230</v>
      </c>
      <c r="J238" s="473">
        <f t="shared" ref="J238" si="187">I238/C238</f>
        <v>1</v>
      </c>
      <c r="K238" s="474">
        <f t="shared" ref="K238" si="188">G238*E238</f>
        <v>366100</v>
      </c>
      <c r="L238" s="474">
        <f t="shared" ref="L238" si="189">H238*E238</f>
        <v>0</v>
      </c>
      <c r="M238" s="474">
        <f t="shared" ref="M238" si="190">K238+L238</f>
        <v>366100</v>
      </c>
      <c r="N238" s="492"/>
    </row>
    <row r="239" spans="1:14">
      <c r="A239" s="476">
        <v>5</v>
      </c>
      <c r="B239" s="506" t="s">
        <v>483</v>
      </c>
      <c r="C239" s="507"/>
      <c r="D239" s="497"/>
      <c r="E239" s="498"/>
      <c r="F239" s="498"/>
      <c r="G239" s="463"/>
      <c r="H239" s="463"/>
      <c r="I239" s="499"/>
      <c r="J239" s="463"/>
      <c r="K239" s="464"/>
      <c r="L239" s="464"/>
      <c r="M239" s="464"/>
      <c r="N239" s="549"/>
    </row>
    <row r="240" spans="1:14" s="446" customFormat="1" ht="12.75">
      <c r="A240" s="467">
        <v>5.01</v>
      </c>
      <c r="B240" s="508" t="s">
        <v>512</v>
      </c>
      <c r="C240" s="469">
        <v>239.99</v>
      </c>
      <c r="D240" s="479" t="s">
        <v>30</v>
      </c>
      <c r="E240" s="488">
        <v>11296.038122772277</v>
      </c>
      <c r="F240" s="488">
        <v>2710936.1890841192</v>
      </c>
      <c r="G240" s="460">
        <v>239.99</v>
      </c>
      <c r="H240" s="472"/>
      <c r="I240" s="472">
        <f t="shared" ref="I240:I241" si="191">G240+H240</f>
        <v>239.99</v>
      </c>
      <c r="J240" s="473">
        <f t="shared" ref="J240:J241" si="192">I240/C240</f>
        <v>1</v>
      </c>
      <c r="K240" s="474">
        <f t="shared" ref="K240:K241" si="193">G240*E240</f>
        <v>2710936.1890841192</v>
      </c>
      <c r="L240" s="474">
        <f t="shared" ref="L240:L241" si="194">H240*E240</f>
        <v>0</v>
      </c>
      <c r="M240" s="474">
        <f t="shared" ref="M240:M241" si="195">K240+L240</f>
        <v>2710936.1890841192</v>
      </c>
      <c r="N240" s="475"/>
    </row>
    <row r="241" spans="1:14">
      <c r="A241" s="467">
        <v>5.0199999999999996</v>
      </c>
      <c r="B241" s="508" t="s">
        <v>485</v>
      </c>
      <c r="C241" s="469">
        <v>33</v>
      </c>
      <c r="D241" s="479" t="s">
        <v>50</v>
      </c>
      <c r="E241" s="488">
        <v>6509.6</v>
      </c>
      <c r="F241" s="488">
        <v>214816.80000000002</v>
      </c>
      <c r="G241" s="460">
        <v>33</v>
      </c>
      <c r="H241" s="472"/>
      <c r="I241" s="472">
        <f t="shared" si="191"/>
        <v>33</v>
      </c>
      <c r="J241" s="473">
        <f t="shared" si="192"/>
        <v>1</v>
      </c>
      <c r="K241" s="474">
        <f t="shared" si="193"/>
        <v>214816.80000000002</v>
      </c>
      <c r="L241" s="474">
        <f t="shared" si="194"/>
        <v>0</v>
      </c>
      <c r="M241" s="474">
        <f t="shared" si="195"/>
        <v>214816.80000000002</v>
      </c>
      <c r="N241" s="549"/>
    </row>
    <row r="242" spans="1:14" s="493" customFormat="1" ht="12.75">
      <c r="A242" s="476">
        <v>6</v>
      </c>
      <c r="B242" s="506" t="s">
        <v>486</v>
      </c>
      <c r="C242" s="496"/>
      <c r="D242" s="497"/>
      <c r="E242" s="498"/>
      <c r="F242" s="498"/>
      <c r="G242" s="482"/>
      <c r="H242" s="482"/>
      <c r="I242" s="527"/>
      <c r="J242" s="482"/>
      <c r="K242" s="528"/>
      <c r="L242" s="529"/>
      <c r="M242" s="529"/>
      <c r="N242" s="492"/>
    </row>
    <row r="243" spans="1:14">
      <c r="A243" s="467">
        <v>6.01</v>
      </c>
      <c r="B243" s="508" t="s">
        <v>513</v>
      </c>
      <c r="C243" s="469">
        <v>3</v>
      </c>
      <c r="D243" s="479" t="s">
        <v>50</v>
      </c>
      <c r="E243" s="488">
        <v>10060.903930799999</v>
      </c>
      <c r="F243" s="488">
        <v>30182.711792399998</v>
      </c>
      <c r="G243" s="460">
        <v>3</v>
      </c>
      <c r="H243" s="472"/>
      <c r="I243" s="472">
        <f t="shared" ref="I243:I245" si="196">G243+H243</f>
        <v>3</v>
      </c>
      <c r="J243" s="473">
        <f t="shared" ref="J243:J245" si="197">I243/C243</f>
        <v>1</v>
      </c>
      <c r="K243" s="474">
        <f t="shared" ref="K243:K245" si="198">G243*E243</f>
        <v>30182.711792399998</v>
      </c>
      <c r="L243" s="474">
        <f t="shared" ref="L243:L245" si="199">H243*E243</f>
        <v>0</v>
      </c>
      <c r="M243" s="474">
        <f t="shared" ref="M243:M245" si="200">K243+L243</f>
        <v>30182.711792399998</v>
      </c>
      <c r="N243" s="466"/>
    </row>
    <row r="244" spans="1:14" s="446" customFormat="1" ht="12.75">
      <c r="A244" s="467">
        <v>6.02</v>
      </c>
      <c r="B244" s="508" t="s">
        <v>514</v>
      </c>
      <c r="C244" s="469">
        <v>4</v>
      </c>
      <c r="D244" s="479" t="s">
        <v>50</v>
      </c>
      <c r="E244" s="488">
        <v>10208.77</v>
      </c>
      <c r="F244" s="488">
        <v>40835.08</v>
      </c>
      <c r="G244" s="460">
        <v>2</v>
      </c>
      <c r="H244" s="472"/>
      <c r="I244" s="472">
        <f t="shared" si="196"/>
        <v>2</v>
      </c>
      <c r="J244" s="473">
        <f t="shared" si="197"/>
        <v>0.5</v>
      </c>
      <c r="K244" s="474">
        <f t="shared" si="198"/>
        <v>20417.54</v>
      </c>
      <c r="L244" s="474">
        <f t="shared" si="199"/>
        <v>0</v>
      </c>
      <c r="M244" s="474">
        <f t="shared" si="200"/>
        <v>20417.54</v>
      </c>
      <c r="N244" s="475"/>
    </row>
    <row r="245" spans="1:14" s="446" customFormat="1" ht="12.75">
      <c r="A245" s="489">
        <v>6.03</v>
      </c>
      <c r="B245" s="508" t="s">
        <v>515</v>
      </c>
      <c r="C245" s="469">
        <v>4</v>
      </c>
      <c r="D245" s="479" t="s">
        <v>50</v>
      </c>
      <c r="E245" s="488">
        <v>5466.2849999999999</v>
      </c>
      <c r="F245" s="488">
        <v>21865.14</v>
      </c>
      <c r="G245" s="460">
        <v>0</v>
      </c>
      <c r="H245" s="472"/>
      <c r="I245" s="472">
        <f t="shared" si="196"/>
        <v>0</v>
      </c>
      <c r="J245" s="473">
        <f t="shared" si="197"/>
        <v>0</v>
      </c>
      <c r="K245" s="474">
        <f t="shared" si="198"/>
        <v>0</v>
      </c>
      <c r="L245" s="474">
        <f t="shared" si="199"/>
        <v>0</v>
      </c>
      <c r="M245" s="474">
        <f t="shared" si="200"/>
        <v>0</v>
      </c>
      <c r="N245" s="475"/>
    </row>
    <row r="246" spans="1:14" s="493" customFormat="1" ht="12.75">
      <c r="A246" s="476">
        <v>7</v>
      </c>
      <c r="B246" s="506" t="s">
        <v>487</v>
      </c>
      <c r="C246" s="496"/>
      <c r="D246" s="497"/>
      <c r="E246" s="498"/>
      <c r="F246" s="498"/>
      <c r="G246" s="482"/>
      <c r="H246" s="482"/>
      <c r="I246" s="527"/>
      <c r="J246" s="482"/>
      <c r="K246" s="528"/>
      <c r="L246" s="529"/>
      <c r="M246" s="529"/>
      <c r="N246" s="492"/>
    </row>
    <row r="247" spans="1:14" s="446" customFormat="1" ht="24">
      <c r="A247" s="467">
        <v>7.01</v>
      </c>
      <c r="B247" s="508" t="s">
        <v>501</v>
      </c>
      <c r="C247" s="469">
        <v>1</v>
      </c>
      <c r="D247" s="479" t="s">
        <v>50</v>
      </c>
      <c r="E247" s="488">
        <v>8546.7800000000007</v>
      </c>
      <c r="F247" s="488">
        <v>8546.7800000000007</v>
      </c>
      <c r="G247" s="460">
        <v>1</v>
      </c>
      <c r="H247" s="472"/>
      <c r="I247" s="472">
        <f t="shared" ref="I247:I251" si="201">G247+H247</f>
        <v>1</v>
      </c>
      <c r="J247" s="473">
        <f t="shared" ref="J247:J251" si="202">I247/C247</f>
        <v>1</v>
      </c>
      <c r="K247" s="474">
        <f t="shared" ref="K247:K251" si="203">G247*E247</f>
        <v>8546.7800000000007</v>
      </c>
      <c r="L247" s="474">
        <f t="shared" ref="L247:L251" si="204">H247*E247</f>
        <v>0</v>
      </c>
      <c r="M247" s="474">
        <f t="shared" ref="M247:M251" si="205">K247+L247</f>
        <v>8546.7800000000007</v>
      </c>
      <c r="N247" s="475"/>
    </row>
    <row r="248" spans="1:14" s="446" customFormat="1" ht="12.75">
      <c r="A248" s="467">
        <v>7.02</v>
      </c>
      <c r="B248" s="508" t="s">
        <v>502</v>
      </c>
      <c r="C248" s="469">
        <v>2</v>
      </c>
      <c r="D248" s="479" t="s">
        <v>50</v>
      </c>
      <c r="E248" s="488">
        <v>16559.57</v>
      </c>
      <c r="F248" s="488">
        <v>33119.14</v>
      </c>
      <c r="G248" s="460">
        <v>2</v>
      </c>
      <c r="H248" s="472"/>
      <c r="I248" s="472">
        <f t="shared" si="201"/>
        <v>2</v>
      </c>
      <c r="J248" s="473">
        <f t="shared" si="202"/>
        <v>1</v>
      </c>
      <c r="K248" s="474">
        <f t="shared" si="203"/>
        <v>33119.14</v>
      </c>
      <c r="L248" s="474">
        <f t="shared" si="204"/>
        <v>0</v>
      </c>
      <c r="M248" s="474">
        <f t="shared" si="205"/>
        <v>33119.14</v>
      </c>
      <c r="N248" s="475"/>
    </row>
    <row r="249" spans="1:14" ht="24">
      <c r="A249" s="467">
        <v>7.03</v>
      </c>
      <c r="B249" s="508" t="s">
        <v>516</v>
      </c>
      <c r="C249" s="469">
        <v>4</v>
      </c>
      <c r="D249" s="479" t="s">
        <v>50</v>
      </c>
      <c r="E249" s="488">
        <v>28581.41</v>
      </c>
      <c r="F249" s="488">
        <v>114325.64</v>
      </c>
      <c r="G249" s="460">
        <v>4</v>
      </c>
      <c r="H249" s="472"/>
      <c r="I249" s="472">
        <f t="shared" si="201"/>
        <v>4</v>
      </c>
      <c r="J249" s="473">
        <f t="shared" si="202"/>
        <v>1</v>
      </c>
      <c r="K249" s="474">
        <f t="shared" si="203"/>
        <v>114325.64</v>
      </c>
      <c r="L249" s="474">
        <f t="shared" si="204"/>
        <v>0</v>
      </c>
      <c r="M249" s="474">
        <f t="shared" si="205"/>
        <v>114325.64</v>
      </c>
      <c r="N249" s="466"/>
    </row>
    <row r="250" spans="1:14" s="533" customFormat="1" ht="17.100000000000001" customHeight="1">
      <c r="A250" s="489">
        <v>7.04</v>
      </c>
      <c r="B250" s="508" t="s">
        <v>517</v>
      </c>
      <c r="C250" s="490">
        <v>3</v>
      </c>
      <c r="D250" s="479" t="s">
        <v>50</v>
      </c>
      <c r="E250" s="491">
        <v>77516.710000000006</v>
      </c>
      <c r="F250" s="491">
        <v>232550.13</v>
      </c>
      <c r="G250" s="460">
        <v>0</v>
      </c>
      <c r="H250" s="472"/>
      <c r="I250" s="472">
        <f t="shared" si="201"/>
        <v>0</v>
      </c>
      <c r="J250" s="473">
        <f t="shared" si="202"/>
        <v>0</v>
      </c>
      <c r="K250" s="474">
        <f t="shared" si="203"/>
        <v>0</v>
      </c>
      <c r="L250" s="474">
        <f t="shared" si="204"/>
        <v>0</v>
      </c>
      <c r="M250" s="474">
        <f t="shared" si="205"/>
        <v>0</v>
      </c>
      <c r="N250" s="532"/>
    </row>
    <row r="251" spans="1:14">
      <c r="A251" s="467">
        <v>7.05</v>
      </c>
      <c r="B251" s="508" t="s">
        <v>518</v>
      </c>
      <c r="C251" s="469">
        <v>3</v>
      </c>
      <c r="D251" s="479" t="s">
        <v>50</v>
      </c>
      <c r="E251" s="488">
        <v>32175</v>
      </c>
      <c r="F251" s="488">
        <v>96525</v>
      </c>
      <c r="G251" s="460">
        <v>0</v>
      </c>
      <c r="H251" s="472"/>
      <c r="I251" s="472">
        <f t="shared" si="201"/>
        <v>0</v>
      </c>
      <c r="J251" s="473">
        <f t="shared" si="202"/>
        <v>0</v>
      </c>
      <c r="K251" s="474">
        <f t="shared" si="203"/>
        <v>0</v>
      </c>
      <c r="L251" s="474">
        <f t="shared" si="204"/>
        <v>0</v>
      </c>
      <c r="M251" s="474">
        <f t="shared" si="205"/>
        <v>0</v>
      </c>
      <c r="N251" s="466"/>
    </row>
    <row r="252" spans="1:14" s="493" customFormat="1" ht="12.75">
      <c r="A252" s="476">
        <v>8</v>
      </c>
      <c r="B252" s="506" t="s">
        <v>519</v>
      </c>
      <c r="C252" s="496"/>
      <c r="D252" s="497"/>
      <c r="E252" s="481"/>
      <c r="F252" s="481"/>
      <c r="G252" s="482"/>
      <c r="H252" s="482"/>
      <c r="I252" s="527"/>
      <c r="J252" s="482"/>
      <c r="K252" s="528"/>
      <c r="L252" s="529"/>
      <c r="M252" s="529"/>
      <c r="N252" s="492"/>
    </row>
    <row r="253" spans="1:14" s="446" customFormat="1" ht="12.75">
      <c r="A253" s="467">
        <v>8.01</v>
      </c>
      <c r="B253" s="508" t="s">
        <v>520</v>
      </c>
      <c r="C253" s="469">
        <v>426.15</v>
      </c>
      <c r="D253" s="479" t="s">
        <v>38</v>
      </c>
      <c r="E253" s="488">
        <v>198</v>
      </c>
      <c r="F253" s="488">
        <v>84377.7</v>
      </c>
      <c r="G253" s="460">
        <v>0</v>
      </c>
      <c r="H253" s="472">
        <v>426.15</v>
      </c>
      <c r="I253" s="472">
        <f t="shared" ref="I253:I270" si="206">G253+H253</f>
        <v>426.15</v>
      </c>
      <c r="J253" s="473">
        <f t="shared" ref="J253:J270" si="207">I253/C253</f>
        <v>1</v>
      </c>
      <c r="K253" s="474">
        <f t="shared" ref="K253:K270" si="208">G253*E253</f>
        <v>0</v>
      </c>
      <c r="L253" s="474">
        <f t="shared" ref="L253:L270" si="209">H253*E253</f>
        <v>84377.7</v>
      </c>
      <c r="M253" s="474">
        <f t="shared" ref="M253:M270" si="210">K253+L253</f>
        <v>84377.7</v>
      </c>
      <c r="N253" s="549"/>
    </row>
    <row r="254" spans="1:14" s="446" customFormat="1" ht="12.75">
      <c r="A254" s="467">
        <v>8.02</v>
      </c>
      <c r="B254" s="508" t="s">
        <v>521</v>
      </c>
      <c r="C254" s="469">
        <v>554</v>
      </c>
      <c r="D254" s="479" t="s">
        <v>38</v>
      </c>
      <c r="E254" s="488">
        <v>247.5</v>
      </c>
      <c r="F254" s="488">
        <v>137115</v>
      </c>
      <c r="G254" s="460">
        <v>0</v>
      </c>
      <c r="H254" s="472">
        <v>554</v>
      </c>
      <c r="I254" s="472">
        <f t="shared" si="206"/>
        <v>554</v>
      </c>
      <c r="J254" s="473">
        <f t="shared" si="207"/>
        <v>1</v>
      </c>
      <c r="K254" s="474">
        <f t="shared" si="208"/>
        <v>0</v>
      </c>
      <c r="L254" s="474">
        <f t="shared" si="209"/>
        <v>137115</v>
      </c>
      <c r="M254" s="474">
        <f t="shared" si="210"/>
        <v>137115</v>
      </c>
      <c r="N254" s="475"/>
    </row>
    <row r="255" spans="1:14" ht="36">
      <c r="A255" s="467">
        <v>8.0299999999999994</v>
      </c>
      <c r="B255" s="508" t="s">
        <v>401</v>
      </c>
      <c r="C255" s="469">
        <v>13.25</v>
      </c>
      <c r="D255" s="479" t="s">
        <v>38</v>
      </c>
      <c r="E255" s="488">
        <v>24552.52</v>
      </c>
      <c r="F255" s="488">
        <v>325320.89</v>
      </c>
      <c r="G255" s="460">
        <v>0</v>
      </c>
      <c r="H255" s="472"/>
      <c r="I255" s="472">
        <f t="shared" si="206"/>
        <v>0</v>
      </c>
      <c r="J255" s="473">
        <f t="shared" si="207"/>
        <v>0</v>
      </c>
      <c r="K255" s="474">
        <f t="shared" si="208"/>
        <v>0</v>
      </c>
      <c r="L255" s="474">
        <f t="shared" si="209"/>
        <v>0</v>
      </c>
      <c r="M255" s="474">
        <f t="shared" si="210"/>
        <v>0</v>
      </c>
      <c r="N255" s="466"/>
    </row>
    <row r="256" spans="1:14" s="515" customFormat="1" ht="12.75">
      <c r="A256" s="489">
        <v>8.0399999999999991</v>
      </c>
      <c r="B256" s="508" t="s">
        <v>522</v>
      </c>
      <c r="C256" s="490">
        <v>0.79</v>
      </c>
      <c r="D256" s="479" t="s">
        <v>38</v>
      </c>
      <c r="E256" s="491">
        <v>18365.16</v>
      </c>
      <c r="F256" s="491"/>
      <c r="G256" s="460">
        <v>0</v>
      </c>
      <c r="H256" s="472"/>
      <c r="I256" s="472">
        <f t="shared" si="206"/>
        <v>0</v>
      </c>
      <c r="J256" s="473">
        <f t="shared" si="207"/>
        <v>0</v>
      </c>
      <c r="K256" s="474">
        <f t="shared" si="208"/>
        <v>0</v>
      </c>
      <c r="L256" s="474">
        <f t="shared" si="209"/>
        <v>0</v>
      </c>
      <c r="M256" s="474">
        <f t="shared" si="210"/>
        <v>0</v>
      </c>
      <c r="N256" s="550"/>
    </row>
    <row r="257" spans="1:14" s="515" customFormat="1" ht="24">
      <c r="A257" s="489">
        <v>8.0500000000000007</v>
      </c>
      <c r="B257" s="508" t="s">
        <v>403</v>
      </c>
      <c r="C257" s="490">
        <v>0.63</v>
      </c>
      <c r="D257" s="479" t="s">
        <v>38</v>
      </c>
      <c r="E257" s="491">
        <v>29027.83</v>
      </c>
      <c r="F257" s="491">
        <v>18287.532900000002</v>
      </c>
      <c r="G257" s="460">
        <v>0</v>
      </c>
      <c r="H257" s="472"/>
      <c r="I257" s="472">
        <f t="shared" si="206"/>
        <v>0</v>
      </c>
      <c r="J257" s="473">
        <f t="shared" si="207"/>
        <v>0</v>
      </c>
      <c r="K257" s="474">
        <f t="shared" si="208"/>
        <v>0</v>
      </c>
      <c r="L257" s="474">
        <f t="shared" si="209"/>
        <v>0</v>
      </c>
      <c r="M257" s="474">
        <f t="shared" si="210"/>
        <v>0</v>
      </c>
      <c r="N257" s="550"/>
    </row>
    <row r="258" spans="1:14" s="493" customFormat="1" ht="24">
      <c r="A258" s="467">
        <v>8.06</v>
      </c>
      <c r="B258" s="508" t="s">
        <v>404</v>
      </c>
      <c r="C258" s="469">
        <v>1.9</v>
      </c>
      <c r="D258" s="479" t="s">
        <v>38</v>
      </c>
      <c r="E258" s="488">
        <v>36474.19</v>
      </c>
      <c r="F258" s="488">
        <v>69300.960999999996</v>
      </c>
      <c r="G258" s="460">
        <v>0</v>
      </c>
      <c r="H258" s="472"/>
      <c r="I258" s="472">
        <f t="shared" si="206"/>
        <v>0</v>
      </c>
      <c r="J258" s="473">
        <f t="shared" si="207"/>
        <v>0</v>
      </c>
      <c r="K258" s="474">
        <f t="shared" si="208"/>
        <v>0</v>
      </c>
      <c r="L258" s="474">
        <f t="shared" si="209"/>
        <v>0</v>
      </c>
      <c r="M258" s="474">
        <f t="shared" si="210"/>
        <v>0</v>
      </c>
      <c r="N258" s="492"/>
    </row>
    <row r="259" spans="1:14" ht="24">
      <c r="A259" s="467">
        <v>8.07</v>
      </c>
      <c r="B259" s="508" t="s">
        <v>405</v>
      </c>
      <c r="C259" s="469">
        <v>4.54</v>
      </c>
      <c r="D259" s="479" t="s">
        <v>38</v>
      </c>
      <c r="E259" s="488">
        <v>36417.410000000003</v>
      </c>
      <c r="F259" s="488">
        <v>165335.04140000002</v>
      </c>
      <c r="G259" s="460">
        <v>0</v>
      </c>
      <c r="H259" s="472"/>
      <c r="I259" s="472">
        <f t="shared" si="206"/>
        <v>0</v>
      </c>
      <c r="J259" s="473">
        <f t="shared" si="207"/>
        <v>0</v>
      </c>
      <c r="K259" s="474">
        <f t="shared" si="208"/>
        <v>0</v>
      </c>
      <c r="L259" s="474">
        <f t="shared" si="209"/>
        <v>0</v>
      </c>
      <c r="M259" s="474">
        <f t="shared" si="210"/>
        <v>0</v>
      </c>
      <c r="N259" s="466"/>
    </row>
    <row r="260" spans="1:14" ht="36">
      <c r="A260" s="467">
        <v>8.08</v>
      </c>
      <c r="B260" s="508" t="s">
        <v>406</v>
      </c>
      <c r="C260" s="469">
        <v>55.93</v>
      </c>
      <c r="D260" s="479" t="s">
        <v>38</v>
      </c>
      <c r="E260" s="488">
        <v>28116.17</v>
      </c>
      <c r="F260" s="488">
        <v>1572537.3880999999</v>
      </c>
      <c r="G260" s="460">
        <v>0</v>
      </c>
      <c r="H260" s="472"/>
      <c r="I260" s="472">
        <f t="shared" si="206"/>
        <v>0</v>
      </c>
      <c r="J260" s="473">
        <f t="shared" si="207"/>
        <v>0</v>
      </c>
      <c r="K260" s="474">
        <f t="shared" si="208"/>
        <v>0</v>
      </c>
      <c r="L260" s="474">
        <f t="shared" si="209"/>
        <v>0</v>
      </c>
      <c r="M260" s="474">
        <f t="shared" si="210"/>
        <v>0</v>
      </c>
      <c r="N260" s="549"/>
    </row>
    <row r="261" spans="1:14" ht="24">
      <c r="A261" s="467">
        <v>8.09</v>
      </c>
      <c r="B261" s="508" t="s">
        <v>407</v>
      </c>
      <c r="C261" s="469">
        <v>23.81</v>
      </c>
      <c r="D261" s="479" t="s">
        <v>38</v>
      </c>
      <c r="E261" s="488">
        <v>28998.11</v>
      </c>
      <c r="F261" s="488">
        <v>690444.99910000002</v>
      </c>
      <c r="G261" s="460">
        <v>0</v>
      </c>
      <c r="H261" s="472"/>
      <c r="I261" s="472">
        <f t="shared" si="206"/>
        <v>0</v>
      </c>
      <c r="J261" s="473">
        <f t="shared" si="207"/>
        <v>0</v>
      </c>
      <c r="K261" s="474">
        <f t="shared" si="208"/>
        <v>0</v>
      </c>
      <c r="L261" s="474">
        <f t="shared" si="209"/>
        <v>0</v>
      </c>
      <c r="M261" s="474">
        <f t="shared" si="210"/>
        <v>0</v>
      </c>
      <c r="N261" s="549"/>
    </row>
    <row r="262" spans="1:14" ht="24">
      <c r="A262" s="512">
        <v>8.1</v>
      </c>
      <c r="B262" s="508" t="s">
        <v>408</v>
      </c>
      <c r="C262" s="469">
        <v>42.34</v>
      </c>
      <c r="D262" s="479" t="s">
        <v>38</v>
      </c>
      <c r="E262" s="488">
        <v>27122.45</v>
      </c>
      <c r="F262" s="488">
        <v>1148364.5330000001</v>
      </c>
      <c r="G262" s="460">
        <v>0</v>
      </c>
      <c r="H262" s="472"/>
      <c r="I262" s="472">
        <f t="shared" si="206"/>
        <v>0</v>
      </c>
      <c r="J262" s="473">
        <f t="shared" si="207"/>
        <v>0</v>
      </c>
      <c r="K262" s="474">
        <f t="shared" si="208"/>
        <v>0</v>
      </c>
      <c r="L262" s="474">
        <f t="shared" si="209"/>
        <v>0</v>
      </c>
      <c r="M262" s="474">
        <f t="shared" si="210"/>
        <v>0</v>
      </c>
      <c r="N262" s="549"/>
    </row>
    <row r="263" spans="1:14">
      <c r="A263" s="467">
        <v>8.11</v>
      </c>
      <c r="B263" s="508" t="s">
        <v>409</v>
      </c>
      <c r="C263" s="469">
        <v>1</v>
      </c>
      <c r="D263" s="479" t="s">
        <v>50</v>
      </c>
      <c r="E263" s="488">
        <v>1136.3800000000001</v>
      </c>
      <c r="F263" s="488">
        <v>1136.3800000000001</v>
      </c>
      <c r="G263" s="460">
        <v>0</v>
      </c>
      <c r="H263" s="472"/>
      <c r="I263" s="472">
        <f t="shared" si="206"/>
        <v>0</v>
      </c>
      <c r="J263" s="473">
        <f t="shared" si="207"/>
        <v>0</v>
      </c>
      <c r="K263" s="474">
        <f t="shared" si="208"/>
        <v>0</v>
      </c>
      <c r="L263" s="474">
        <f t="shared" si="209"/>
        <v>0</v>
      </c>
      <c r="M263" s="474">
        <f t="shared" si="210"/>
        <v>0</v>
      </c>
      <c r="N263" s="466"/>
    </row>
    <row r="264" spans="1:14" s="493" customFormat="1" ht="12.75">
      <c r="A264" s="467">
        <v>8.1199999999999992</v>
      </c>
      <c r="B264" s="508" t="s">
        <v>410</v>
      </c>
      <c r="C264" s="469">
        <v>1</v>
      </c>
      <c r="D264" s="479" t="s">
        <v>50</v>
      </c>
      <c r="E264" s="488">
        <v>26414.32</v>
      </c>
      <c r="F264" s="488">
        <v>26414.32</v>
      </c>
      <c r="G264" s="460">
        <v>0</v>
      </c>
      <c r="H264" s="472"/>
      <c r="I264" s="472">
        <f t="shared" si="206"/>
        <v>0</v>
      </c>
      <c r="J264" s="473">
        <f t="shared" si="207"/>
        <v>0</v>
      </c>
      <c r="K264" s="474">
        <f t="shared" si="208"/>
        <v>0</v>
      </c>
      <c r="L264" s="474">
        <f t="shared" si="209"/>
        <v>0</v>
      </c>
      <c r="M264" s="474">
        <f t="shared" si="210"/>
        <v>0</v>
      </c>
      <c r="N264" s="492"/>
    </row>
    <row r="265" spans="1:14">
      <c r="A265" s="467">
        <v>8.1300000000000008</v>
      </c>
      <c r="B265" s="508" t="s">
        <v>523</v>
      </c>
      <c r="C265" s="469">
        <v>1</v>
      </c>
      <c r="D265" s="479" t="s">
        <v>50</v>
      </c>
      <c r="E265" s="488">
        <v>26414.32</v>
      </c>
      <c r="F265" s="488">
        <v>26414.32</v>
      </c>
      <c r="G265" s="460">
        <v>0</v>
      </c>
      <c r="H265" s="472"/>
      <c r="I265" s="472">
        <f t="shared" si="206"/>
        <v>0</v>
      </c>
      <c r="J265" s="473">
        <f t="shared" si="207"/>
        <v>0</v>
      </c>
      <c r="K265" s="474">
        <f t="shared" si="208"/>
        <v>0</v>
      </c>
      <c r="L265" s="474">
        <f t="shared" si="209"/>
        <v>0</v>
      </c>
      <c r="M265" s="474">
        <f t="shared" si="210"/>
        <v>0</v>
      </c>
      <c r="N265" s="466"/>
    </row>
    <row r="266" spans="1:14">
      <c r="A266" s="467">
        <v>8.14</v>
      </c>
      <c r="B266" s="508" t="s">
        <v>411</v>
      </c>
      <c r="C266" s="469">
        <v>333.6</v>
      </c>
      <c r="D266" s="479" t="s">
        <v>189</v>
      </c>
      <c r="E266" s="488">
        <v>648.71</v>
      </c>
      <c r="F266" s="488">
        <v>216409.65600000002</v>
      </c>
      <c r="G266" s="460">
        <v>0</v>
      </c>
      <c r="H266" s="472"/>
      <c r="I266" s="472">
        <f t="shared" si="206"/>
        <v>0</v>
      </c>
      <c r="J266" s="473">
        <f t="shared" si="207"/>
        <v>0</v>
      </c>
      <c r="K266" s="474">
        <f t="shared" si="208"/>
        <v>0</v>
      </c>
      <c r="L266" s="474">
        <f t="shared" si="209"/>
        <v>0</v>
      </c>
      <c r="M266" s="474">
        <f t="shared" si="210"/>
        <v>0</v>
      </c>
      <c r="N266" s="466"/>
    </row>
    <row r="267" spans="1:14">
      <c r="A267" s="467">
        <v>8.15</v>
      </c>
      <c r="B267" s="508" t="s">
        <v>524</v>
      </c>
      <c r="C267" s="469">
        <v>96</v>
      </c>
      <c r="D267" s="479" t="s">
        <v>189</v>
      </c>
      <c r="E267" s="488">
        <v>648.71</v>
      </c>
      <c r="F267" s="488">
        <v>62276.160000000003</v>
      </c>
      <c r="G267" s="460">
        <v>0</v>
      </c>
      <c r="H267" s="472"/>
      <c r="I267" s="472">
        <f t="shared" si="206"/>
        <v>0</v>
      </c>
      <c r="J267" s="473">
        <f t="shared" si="207"/>
        <v>0</v>
      </c>
      <c r="K267" s="474">
        <f t="shared" si="208"/>
        <v>0</v>
      </c>
      <c r="L267" s="474">
        <f t="shared" si="209"/>
        <v>0</v>
      </c>
      <c r="M267" s="474">
        <f t="shared" si="210"/>
        <v>0</v>
      </c>
      <c r="N267" s="466"/>
    </row>
    <row r="268" spans="1:14">
      <c r="A268" s="467">
        <v>8.16</v>
      </c>
      <c r="B268" s="508" t="s">
        <v>270</v>
      </c>
      <c r="C268" s="469">
        <v>333.6</v>
      </c>
      <c r="D268" s="479" t="s">
        <v>189</v>
      </c>
      <c r="E268" s="488">
        <v>84.69</v>
      </c>
      <c r="F268" s="488">
        <v>28252.584000000003</v>
      </c>
      <c r="G268" s="460">
        <v>0</v>
      </c>
      <c r="H268" s="472"/>
      <c r="I268" s="472">
        <f t="shared" si="206"/>
        <v>0</v>
      </c>
      <c r="J268" s="473">
        <f t="shared" si="207"/>
        <v>0</v>
      </c>
      <c r="K268" s="474">
        <f t="shared" si="208"/>
        <v>0</v>
      </c>
      <c r="L268" s="474">
        <f t="shared" si="209"/>
        <v>0</v>
      </c>
      <c r="M268" s="474">
        <f t="shared" si="210"/>
        <v>0</v>
      </c>
      <c r="N268" s="466"/>
    </row>
    <row r="269" spans="1:14">
      <c r="A269" s="467">
        <v>8.17</v>
      </c>
      <c r="B269" s="508" t="s">
        <v>412</v>
      </c>
      <c r="C269" s="469">
        <v>50.4</v>
      </c>
      <c r="D269" s="479" t="s">
        <v>30</v>
      </c>
      <c r="E269" s="488">
        <v>120.86</v>
      </c>
      <c r="F269" s="488">
        <v>6091.3440000000001</v>
      </c>
      <c r="G269" s="460">
        <v>0</v>
      </c>
      <c r="H269" s="472"/>
      <c r="I269" s="472">
        <f t="shared" si="206"/>
        <v>0</v>
      </c>
      <c r="J269" s="473">
        <f t="shared" si="207"/>
        <v>0</v>
      </c>
      <c r="K269" s="474">
        <f t="shared" si="208"/>
        <v>0</v>
      </c>
      <c r="L269" s="474">
        <f t="shared" si="209"/>
        <v>0</v>
      </c>
      <c r="M269" s="474">
        <f t="shared" si="210"/>
        <v>0</v>
      </c>
      <c r="N269" s="466"/>
    </row>
    <row r="270" spans="1:14">
      <c r="A270" s="467">
        <v>8.18</v>
      </c>
      <c r="B270" s="508" t="s">
        <v>525</v>
      </c>
      <c r="C270" s="469">
        <v>1</v>
      </c>
      <c r="D270" s="479" t="s">
        <v>32</v>
      </c>
      <c r="E270" s="488">
        <v>7306.25</v>
      </c>
      <c r="F270" s="488">
        <v>7306.25</v>
      </c>
      <c r="G270" s="460">
        <v>0</v>
      </c>
      <c r="H270" s="472"/>
      <c r="I270" s="472">
        <f t="shared" si="206"/>
        <v>0</v>
      </c>
      <c r="J270" s="473">
        <f t="shared" si="207"/>
        <v>0</v>
      </c>
      <c r="K270" s="474">
        <f t="shared" si="208"/>
        <v>0</v>
      </c>
      <c r="L270" s="474">
        <f t="shared" si="209"/>
        <v>0</v>
      </c>
      <c r="M270" s="474">
        <f t="shared" si="210"/>
        <v>0</v>
      </c>
      <c r="N270" s="466"/>
    </row>
    <row r="271" spans="1:14" s="493" customFormat="1" ht="12.75">
      <c r="A271" s="476">
        <v>9</v>
      </c>
      <c r="B271" s="506" t="s">
        <v>414</v>
      </c>
      <c r="C271" s="496"/>
      <c r="D271" s="497"/>
      <c r="E271" s="498"/>
      <c r="F271" s="498"/>
      <c r="G271" s="502"/>
      <c r="H271" s="482"/>
      <c r="I271" s="527"/>
      <c r="J271" s="482"/>
      <c r="K271" s="528"/>
      <c r="L271" s="529"/>
      <c r="M271" s="529"/>
      <c r="N271" s="492"/>
    </row>
    <row r="272" spans="1:14" s="533" customFormat="1" ht="15" customHeight="1">
      <c r="A272" s="489">
        <v>9.01</v>
      </c>
      <c r="B272" s="508" t="s">
        <v>382</v>
      </c>
      <c r="C272" s="490">
        <v>135</v>
      </c>
      <c r="D272" s="479" t="s">
        <v>189</v>
      </c>
      <c r="E272" s="510">
        <v>280</v>
      </c>
      <c r="F272" s="491">
        <v>37800</v>
      </c>
      <c r="G272" s="460">
        <v>0</v>
      </c>
      <c r="H272" s="472"/>
      <c r="I272" s="472">
        <f t="shared" ref="I272" si="211">G272+H272</f>
        <v>0</v>
      </c>
      <c r="J272" s="473">
        <f t="shared" ref="J272" si="212">I272/C272</f>
        <v>0</v>
      </c>
      <c r="K272" s="474">
        <f t="shared" ref="K272" si="213">G272*E272</f>
        <v>0</v>
      </c>
      <c r="L272" s="474">
        <f t="shared" ref="L272" si="214">H272*E272</f>
        <v>0</v>
      </c>
      <c r="M272" s="474">
        <f t="shared" ref="M272:M273" si="215">K272+L272</f>
        <v>0</v>
      </c>
      <c r="N272" s="532"/>
    </row>
    <row r="273" spans="1:14" s="493" customFormat="1" ht="12.75">
      <c r="A273" s="526"/>
      <c r="B273" s="477" t="s">
        <v>44</v>
      </c>
      <c r="C273" s="507"/>
      <c r="D273" s="497"/>
      <c r="E273" s="498"/>
      <c r="F273" s="481">
        <f>SUM(F228:F272)</f>
        <v>25074349.540433329</v>
      </c>
      <c r="G273" s="502"/>
      <c r="H273" s="482"/>
      <c r="I273" s="527"/>
      <c r="J273" s="482"/>
      <c r="K273" s="547">
        <f>SUM(K228:K272)</f>
        <v>19664064.64292625</v>
      </c>
      <c r="L273" s="548">
        <f>SUM(L228:L272)</f>
        <v>221492.7</v>
      </c>
      <c r="M273" s="548">
        <f t="shared" si="215"/>
        <v>19885557.342926249</v>
      </c>
      <c r="N273" s="492"/>
    </row>
    <row r="274" spans="1:14" s="493" customFormat="1" ht="24">
      <c r="A274" s="476" t="s">
        <v>26</v>
      </c>
      <c r="B274" s="506" t="s">
        <v>526</v>
      </c>
      <c r="C274" s="496"/>
      <c r="D274" s="497"/>
      <c r="E274" s="498"/>
      <c r="F274" s="498"/>
      <c r="G274" s="502"/>
      <c r="H274" s="482"/>
      <c r="I274" s="527"/>
      <c r="J274" s="482"/>
      <c r="K274" s="528"/>
      <c r="L274" s="529"/>
      <c r="M274" s="529"/>
      <c r="N274" s="492"/>
    </row>
    <row r="275" spans="1:14">
      <c r="A275" s="476">
        <v>1</v>
      </c>
      <c r="B275" s="506" t="s">
        <v>365</v>
      </c>
      <c r="C275" s="469"/>
      <c r="D275" s="479"/>
      <c r="E275" s="480"/>
      <c r="F275" s="480"/>
      <c r="G275" s="460"/>
      <c r="H275" s="463"/>
      <c r="I275" s="521"/>
      <c r="J275" s="487"/>
      <c r="K275" s="464"/>
      <c r="L275" s="464"/>
      <c r="M275" s="464"/>
      <c r="N275" s="466"/>
    </row>
    <row r="276" spans="1:14" s="493" customFormat="1" ht="12.75">
      <c r="A276" s="467">
        <v>1.01</v>
      </c>
      <c r="B276" s="508" t="s">
        <v>29</v>
      </c>
      <c r="C276" s="469">
        <v>3619</v>
      </c>
      <c r="D276" s="479" t="s">
        <v>264</v>
      </c>
      <c r="E276" s="488">
        <v>60</v>
      </c>
      <c r="F276" s="488">
        <v>217140</v>
      </c>
      <c r="G276" s="460">
        <v>3619</v>
      </c>
      <c r="H276" s="472"/>
      <c r="I276" s="472">
        <f t="shared" ref="I276:I277" si="216">G276+H276</f>
        <v>3619</v>
      </c>
      <c r="J276" s="473">
        <f t="shared" ref="J276:J277" si="217">I276/C276</f>
        <v>1</v>
      </c>
      <c r="K276" s="474">
        <f t="shared" ref="K276:K277" si="218">G276*E276</f>
        <v>217140</v>
      </c>
      <c r="L276" s="474">
        <f t="shared" ref="L276:L277" si="219">H276*E276</f>
        <v>0</v>
      </c>
      <c r="M276" s="474">
        <f t="shared" ref="M276:M277" si="220">K276+L276</f>
        <v>217140</v>
      </c>
      <c r="N276" s="492"/>
    </row>
    <row r="277" spans="1:14">
      <c r="A277" s="467">
        <v>1.02</v>
      </c>
      <c r="B277" s="508" t="s">
        <v>527</v>
      </c>
      <c r="C277" s="469">
        <v>66</v>
      </c>
      <c r="D277" s="479" t="s">
        <v>264</v>
      </c>
      <c r="E277" s="488">
        <v>60</v>
      </c>
      <c r="F277" s="488">
        <v>3960</v>
      </c>
      <c r="G277" s="460">
        <v>66</v>
      </c>
      <c r="H277" s="472"/>
      <c r="I277" s="472">
        <f t="shared" si="216"/>
        <v>66</v>
      </c>
      <c r="J277" s="473">
        <f t="shared" si="217"/>
        <v>1</v>
      </c>
      <c r="K277" s="474">
        <f t="shared" si="218"/>
        <v>3960</v>
      </c>
      <c r="L277" s="474">
        <f t="shared" si="219"/>
        <v>0</v>
      </c>
      <c r="M277" s="474">
        <f t="shared" si="220"/>
        <v>3960</v>
      </c>
      <c r="N277" s="466"/>
    </row>
    <row r="278" spans="1:14">
      <c r="A278" s="476">
        <v>2</v>
      </c>
      <c r="B278" s="506" t="s">
        <v>250</v>
      </c>
      <c r="C278" s="469"/>
      <c r="D278" s="479"/>
      <c r="E278" s="480"/>
      <c r="F278" s="480"/>
      <c r="G278" s="463"/>
      <c r="H278" s="463"/>
      <c r="I278" s="521"/>
      <c r="J278" s="487"/>
      <c r="K278" s="464"/>
      <c r="L278" s="464"/>
      <c r="M278" s="464"/>
      <c r="N278" s="466"/>
    </row>
    <row r="279" spans="1:14" s="493" customFormat="1" ht="12.75">
      <c r="A279" s="476"/>
      <c r="B279" s="506" t="s">
        <v>528</v>
      </c>
      <c r="C279" s="496"/>
      <c r="D279" s="497"/>
      <c r="E279" s="498"/>
      <c r="F279" s="498"/>
      <c r="G279" s="502"/>
      <c r="H279" s="482"/>
      <c r="I279" s="527"/>
      <c r="J279" s="551"/>
      <c r="K279" s="503"/>
      <c r="L279" s="503"/>
      <c r="M279" s="503"/>
      <c r="N279" s="492"/>
    </row>
    <row r="280" spans="1:14">
      <c r="A280" s="467">
        <v>2.0099999999999998</v>
      </c>
      <c r="B280" s="508" t="s">
        <v>529</v>
      </c>
      <c r="C280" s="469">
        <v>2388.5400000000004</v>
      </c>
      <c r="D280" s="479" t="s">
        <v>38</v>
      </c>
      <c r="E280" s="505">
        <v>198</v>
      </c>
      <c r="F280" s="488">
        <v>472930.92</v>
      </c>
      <c r="G280" s="460">
        <v>2388.54</v>
      </c>
      <c r="H280" s="472"/>
      <c r="I280" s="472">
        <f t="shared" ref="I280:I284" si="221">G280+H280</f>
        <v>2388.54</v>
      </c>
      <c r="J280" s="473">
        <f t="shared" ref="J280:J284" si="222">I280/C280</f>
        <v>0.99999999999999978</v>
      </c>
      <c r="K280" s="474">
        <f t="shared" ref="K280:K284" si="223">G280*E280</f>
        <v>472930.92</v>
      </c>
      <c r="L280" s="474">
        <f t="shared" ref="L280:L284" si="224">H280*E280</f>
        <v>0</v>
      </c>
      <c r="M280" s="474">
        <f t="shared" ref="M280:M284" si="225">K280+L280</f>
        <v>472930.92</v>
      </c>
      <c r="N280" s="466"/>
    </row>
    <row r="281" spans="1:14">
      <c r="A281" s="467">
        <v>2.02</v>
      </c>
      <c r="B281" s="508" t="s">
        <v>369</v>
      </c>
      <c r="C281" s="469">
        <v>217.14000000000001</v>
      </c>
      <c r="D281" s="479" t="s">
        <v>38</v>
      </c>
      <c r="E281" s="505">
        <v>940.5</v>
      </c>
      <c r="F281" s="488">
        <v>204220.17</v>
      </c>
      <c r="G281" s="460">
        <v>217.14000000000001</v>
      </c>
      <c r="H281" s="472"/>
      <c r="I281" s="472">
        <f t="shared" si="221"/>
        <v>217.14000000000001</v>
      </c>
      <c r="J281" s="473">
        <f t="shared" si="222"/>
        <v>1</v>
      </c>
      <c r="K281" s="474">
        <f t="shared" si="223"/>
        <v>204220.17</v>
      </c>
      <c r="L281" s="474">
        <f t="shared" si="224"/>
        <v>0</v>
      </c>
      <c r="M281" s="474">
        <f t="shared" si="225"/>
        <v>204220.17</v>
      </c>
      <c r="N281" s="466"/>
    </row>
    <row r="282" spans="1:14" s="493" customFormat="1" ht="12.75">
      <c r="A282" s="467">
        <v>2.0299999999999998</v>
      </c>
      <c r="B282" s="508" t="s">
        <v>370</v>
      </c>
      <c r="C282" s="469">
        <v>1433.1240000000003</v>
      </c>
      <c r="D282" s="479" t="s">
        <v>38</v>
      </c>
      <c r="E282" s="505">
        <v>539.54999999999995</v>
      </c>
      <c r="F282" s="488">
        <v>773242.05</v>
      </c>
      <c r="G282" s="460">
        <v>1433.1240000000003</v>
      </c>
      <c r="H282" s="472"/>
      <c r="I282" s="472">
        <f t="shared" si="221"/>
        <v>1433.1240000000003</v>
      </c>
      <c r="J282" s="473">
        <f t="shared" si="222"/>
        <v>1</v>
      </c>
      <c r="K282" s="474">
        <f t="shared" si="223"/>
        <v>773242.05420000001</v>
      </c>
      <c r="L282" s="474">
        <f t="shared" si="224"/>
        <v>0</v>
      </c>
      <c r="M282" s="474">
        <f t="shared" si="225"/>
        <v>773242.05420000001</v>
      </c>
      <c r="N282" s="492"/>
    </row>
    <row r="283" spans="1:14">
      <c r="A283" s="467">
        <v>2.04</v>
      </c>
      <c r="B283" s="508" t="s">
        <v>253</v>
      </c>
      <c r="C283" s="469">
        <v>1194.2700000000002</v>
      </c>
      <c r="D283" s="479" t="s">
        <v>38</v>
      </c>
      <c r="E283" s="505">
        <v>247.5</v>
      </c>
      <c r="F283" s="488">
        <v>295581.83</v>
      </c>
      <c r="G283" s="460">
        <v>1194.2700000000002</v>
      </c>
      <c r="H283" s="472"/>
      <c r="I283" s="472">
        <f t="shared" si="221"/>
        <v>1194.2700000000002</v>
      </c>
      <c r="J283" s="473">
        <f t="shared" si="222"/>
        <v>1</v>
      </c>
      <c r="K283" s="474">
        <f t="shared" si="223"/>
        <v>295581.82500000007</v>
      </c>
      <c r="L283" s="474">
        <f t="shared" si="224"/>
        <v>0</v>
      </c>
      <c r="M283" s="474">
        <f t="shared" si="225"/>
        <v>295581.82500000007</v>
      </c>
      <c r="N283" s="466"/>
    </row>
    <row r="284" spans="1:14" s="515" customFormat="1" ht="24">
      <c r="A284" s="489">
        <v>2.0499999999999998</v>
      </c>
      <c r="B284" s="508" t="s">
        <v>371</v>
      </c>
      <c r="C284" s="490">
        <v>716.56200000000013</v>
      </c>
      <c r="D284" s="479" t="s">
        <v>38</v>
      </c>
      <c r="E284" s="510">
        <v>762.3</v>
      </c>
      <c r="F284" s="491">
        <v>546235.21</v>
      </c>
      <c r="G284" s="460">
        <v>716.56200000000013</v>
      </c>
      <c r="H284" s="472"/>
      <c r="I284" s="472">
        <f t="shared" si="221"/>
        <v>716.56200000000013</v>
      </c>
      <c r="J284" s="473">
        <f t="shared" si="222"/>
        <v>1</v>
      </c>
      <c r="K284" s="474">
        <f t="shared" si="223"/>
        <v>546235.21260000009</v>
      </c>
      <c r="L284" s="474">
        <f t="shared" si="224"/>
        <v>0</v>
      </c>
      <c r="M284" s="474">
        <f t="shared" si="225"/>
        <v>546235.21260000009</v>
      </c>
      <c r="N284" s="550"/>
    </row>
    <row r="285" spans="1:14" s="493" customFormat="1" ht="12.75">
      <c r="A285" s="476"/>
      <c r="B285" s="506" t="s">
        <v>530</v>
      </c>
      <c r="C285" s="469"/>
      <c r="D285" s="479"/>
      <c r="E285" s="505"/>
      <c r="F285" s="488"/>
      <c r="G285" s="502"/>
      <c r="H285" s="482"/>
      <c r="I285" s="527"/>
      <c r="J285" s="482"/>
      <c r="K285" s="528"/>
      <c r="L285" s="529"/>
      <c r="M285" s="529"/>
      <c r="N285" s="492"/>
    </row>
    <row r="286" spans="1:14">
      <c r="A286" s="467">
        <v>2.06</v>
      </c>
      <c r="B286" s="508" t="s">
        <v>531</v>
      </c>
      <c r="C286" s="469">
        <v>41.580000000000005</v>
      </c>
      <c r="D286" s="479" t="s">
        <v>38</v>
      </c>
      <c r="E286" s="505">
        <v>198</v>
      </c>
      <c r="F286" s="488">
        <v>8232.84</v>
      </c>
      <c r="G286" s="460">
        <v>41.580000000000005</v>
      </c>
      <c r="H286" s="472"/>
      <c r="I286" s="472">
        <f t="shared" ref="I286:I290" si="226">G286+H286</f>
        <v>41.580000000000005</v>
      </c>
      <c r="J286" s="473">
        <f t="shared" ref="J286:J290" si="227">I286/C286</f>
        <v>1</v>
      </c>
      <c r="K286" s="474">
        <f t="shared" ref="K286:K290" si="228">G286*E286</f>
        <v>8232.840000000002</v>
      </c>
      <c r="L286" s="474">
        <f t="shared" ref="L286:L290" si="229">H286*E286</f>
        <v>0</v>
      </c>
      <c r="M286" s="474">
        <f t="shared" ref="M286:M290" si="230">K286+L286</f>
        <v>8232.840000000002</v>
      </c>
      <c r="N286" s="466"/>
    </row>
    <row r="287" spans="1:14" s="446" customFormat="1" ht="12.75">
      <c r="A287" s="467">
        <v>2.0699999999999998</v>
      </c>
      <c r="B287" s="508" t="s">
        <v>369</v>
      </c>
      <c r="C287" s="469">
        <v>3.9600000000000004</v>
      </c>
      <c r="D287" s="479" t="s">
        <v>38</v>
      </c>
      <c r="E287" s="505">
        <v>940.5</v>
      </c>
      <c r="F287" s="488">
        <v>3724.38</v>
      </c>
      <c r="G287" s="460">
        <v>3.9600000000000004</v>
      </c>
      <c r="H287" s="472"/>
      <c r="I287" s="472">
        <f t="shared" si="226"/>
        <v>3.9600000000000004</v>
      </c>
      <c r="J287" s="473">
        <f t="shared" si="227"/>
        <v>1</v>
      </c>
      <c r="K287" s="474">
        <f t="shared" si="228"/>
        <v>3724.3800000000006</v>
      </c>
      <c r="L287" s="474">
        <f t="shared" si="229"/>
        <v>0</v>
      </c>
      <c r="M287" s="474">
        <f t="shared" si="230"/>
        <v>3724.3800000000006</v>
      </c>
      <c r="N287" s="475"/>
    </row>
    <row r="288" spans="1:14" s="446" customFormat="1" ht="12.75">
      <c r="A288" s="467">
        <v>2.08</v>
      </c>
      <c r="B288" s="508" t="s">
        <v>370</v>
      </c>
      <c r="C288" s="469">
        <v>24.948000000000004</v>
      </c>
      <c r="D288" s="479" t="s">
        <v>38</v>
      </c>
      <c r="E288" s="505">
        <v>539.54999999999995</v>
      </c>
      <c r="F288" s="488">
        <v>13460.69</v>
      </c>
      <c r="G288" s="460">
        <v>24.948000000000004</v>
      </c>
      <c r="H288" s="472"/>
      <c r="I288" s="472">
        <f t="shared" si="226"/>
        <v>24.948000000000004</v>
      </c>
      <c r="J288" s="473">
        <f t="shared" si="227"/>
        <v>1</v>
      </c>
      <c r="K288" s="474">
        <f t="shared" si="228"/>
        <v>13460.6934</v>
      </c>
      <c r="L288" s="474">
        <f t="shared" si="229"/>
        <v>0</v>
      </c>
      <c r="M288" s="474">
        <f t="shared" si="230"/>
        <v>13460.6934</v>
      </c>
      <c r="N288" s="475"/>
    </row>
    <row r="289" spans="1:14" s="493" customFormat="1" ht="12.75">
      <c r="A289" s="467">
        <v>2.09</v>
      </c>
      <c r="B289" s="508" t="s">
        <v>253</v>
      </c>
      <c r="C289" s="469">
        <v>20.790000000000003</v>
      </c>
      <c r="D289" s="479" t="s">
        <v>38</v>
      </c>
      <c r="E289" s="505">
        <v>247.5</v>
      </c>
      <c r="F289" s="488">
        <v>5145.53</v>
      </c>
      <c r="G289" s="460">
        <v>20.790000000000003</v>
      </c>
      <c r="H289" s="472"/>
      <c r="I289" s="472">
        <f t="shared" si="226"/>
        <v>20.790000000000003</v>
      </c>
      <c r="J289" s="473">
        <f t="shared" si="227"/>
        <v>1</v>
      </c>
      <c r="K289" s="474">
        <f t="shared" si="228"/>
        <v>5145.5250000000005</v>
      </c>
      <c r="L289" s="474">
        <f t="shared" si="229"/>
        <v>0</v>
      </c>
      <c r="M289" s="474">
        <f t="shared" si="230"/>
        <v>5145.5250000000005</v>
      </c>
      <c r="N289" s="492"/>
    </row>
    <row r="290" spans="1:14" ht="24">
      <c r="A290" s="512">
        <v>2.1</v>
      </c>
      <c r="B290" s="508" t="s">
        <v>371</v>
      </c>
      <c r="C290" s="469">
        <v>12.474000000000002</v>
      </c>
      <c r="D290" s="479" t="s">
        <v>38</v>
      </c>
      <c r="E290" s="505">
        <v>762.3</v>
      </c>
      <c r="F290" s="488">
        <v>9508.93</v>
      </c>
      <c r="G290" s="460">
        <v>12.474000000000002</v>
      </c>
      <c r="H290" s="472"/>
      <c r="I290" s="472">
        <f t="shared" si="226"/>
        <v>12.474000000000002</v>
      </c>
      <c r="J290" s="473">
        <f t="shared" si="227"/>
        <v>1</v>
      </c>
      <c r="K290" s="474">
        <f t="shared" si="228"/>
        <v>9508.9302000000007</v>
      </c>
      <c r="L290" s="474">
        <f t="shared" si="229"/>
        <v>0</v>
      </c>
      <c r="M290" s="474">
        <f t="shared" si="230"/>
        <v>9508.9302000000007</v>
      </c>
      <c r="N290" s="466"/>
    </row>
    <row r="291" spans="1:14">
      <c r="A291" s="476">
        <v>3</v>
      </c>
      <c r="B291" s="506" t="s">
        <v>372</v>
      </c>
      <c r="C291" s="478"/>
      <c r="D291" s="479"/>
      <c r="E291" s="480"/>
      <c r="F291" s="480"/>
      <c r="G291" s="460"/>
      <c r="H291" s="463"/>
      <c r="I291" s="499"/>
      <c r="J291" s="463"/>
      <c r="K291" s="464"/>
      <c r="L291" s="464"/>
      <c r="M291" s="464"/>
      <c r="N291" s="549"/>
    </row>
    <row r="292" spans="1:14" ht="24">
      <c r="A292" s="467">
        <v>3.01</v>
      </c>
      <c r="B292" s="508" t="s">
        <v>532</v>
      </c>
      <c r="C292" s="469">
        <v>3799.9500000000003</v>
      </c>
      <c r="D292" s="479" t="s">
        <v>30</v>
      </c>
      <c r="E292" s="505">
        <v>1135.5208748057328</v>
      </c>
      <c r="F292" s="488">
        <v>4314922.5482180445</v>
      </c>
      <c r="G292" s="460">
        <v>3799.9500000000003</v>
      </c>
      <c r="H292" s="472"/>
      <c r="I292" s="472">
        <f t="shared" ref="I292:I293" si="231">G292+H292</f>
        <v>3799.9500000000003</v>
      </c>
      <c r="J292" s="473">
        <f t="shared" ref="J292:J293" si="232">I292/C292</f>
        <v>1</v>
      </c>
      <c r="K292" s="474">
        <f t="shared" ref="K292:K293" si="233">G292*E292</f>
        <v>4314922.5482180445</v>
      </c>
      <c r="L292" s="474">
        <f t="shared" ref="L292:L293" si="234">H292*E292</f>
        <v>0</v>
      </c>
      <c r="M292" s="474">
        <f t="shared" ref="M292:M293" si="235">K292+L292</f>
        <v>4314922.5482180445</v>
      </c>
      <c r="N292" s="549"/>
    </row>
    <row r="293" spans="1:14" ht="24">
      <c r="A293" s="467">
        <v>3.02</v>
      </c>
      <c r="B293" s="508" t="s">
        <v>533</v>
      </c>
      <c r="C293" s="469">
        <v>69.3</v>
      </c>
      <c r="D293" s="479" t="s">
        <v>30</v>
      </c>
      <c r="E293" s="505">
        <v>618.42266118032785</v>
      </c>
      <c r="F293" s="488">
        <v>42856.690419796716</v>
      </c>
      <c r="G293" s="460">
        <v>0</v>
      </c>
      <c r="H293" s="472"/>
      <c r="I293" s="472">
        <f t="shared" si="231"/>
        <v>0</v>
      </c>
      <c r="J293" s="473">
        <f t="shared" si="232"/>
        <v>0</v>
      </c>
      <c r="K293" s="474">
        <f t="shared" si="233"/>
        <v>0</v>
      </c>
      <c r="L293" s="474">
        <f t="shared" si="234"/>
        <v>0</v>
      </c>
      <c r="M293" s="474">
        <f t="shared" si="235"/>
        <v>0</v>
      </c>
      <c r="N293" s="466"/>
    </row>
    <row r="294" spans="1:14" s="493" customFormat="1" ht="12.75">
      <c r="A294" s="476">
        <v>4</v>
      </c>
      <c r="B294" s="506" t="s">
        <v>374</v>
      </c>
      <c r="C294" s="496"/>
      <c r="D294" s="497"/>
      <c r="E294" s="498"/>
      <c r="F294" s="498"/>
      <c r="G294" s="502"/>
      <c r="H294" s="482"/>
      <c r="I294" s="527"/>
      <c r="J294" s="482"/>
      <c r="K294" s="528"/>
      <c r="L294" s="529"/>
      <c r="M294" s="529"/>
      <c r="N294" s="492"/>
    </row>
    <row r="295" spans="1:14" s="446" customFormat="1" ht="12.75">
      <c r="A295" s="467">
        <v>4.01</v>
      </c>
      <c r="B295" s="508" t="s">
        <v>495</v>
      </c>
      <c r="C295" s="469">
        <v>3619</v>
      </c>
      <c r="D295" s="479" t="s">
        <v>30</v>
      </c>
      <c r="E295" s="505">
        <v>65</v>
      </c>
      <c r="F295" s="488">
        <v>235235</v>
      </c>
      <c r="G295" s="460">
        <v>3619</v>
      </c>
      <c r="H295" s="472"/>
      <c r="I295" s="472">
        <f t="shared" ref="I295:I296" si="236">G295+H295</f>
        <v>3619</v>
      </c>
      <c r="J295" s="473">
        <f t="shared" ref="J295:J296" si="237">I295/C295</f>
        <v>1</v>
      </c>
      <c r="K295" s="474">
        <f t="shared" ref="K295:K296" si="238">G295*E295</f>
        <v>235235</v>
      </c>
      <c r="L295" s="474">
        <f t="shared" ref="L295:L296" si="239">H295*E295</f>
        <v>0</v>
      </c>
      <c r="M295" s="474">
        <f t="shared" ref="M295:M296" si="240">K295+L295</f>
        <v>235235</v>
      </c>
      <c r="N295" s="475"/>
    </row>
    <row r="296" spans="1:14" s="446" customFormat="1" ht="12.75">
      <c r="A296" s="467">
        <v>4.0199999999999996</v>
      </c>
      <c r="B296" s="508" t="s">
        <v>534</v>
      </c>
      <c r="C296" s="469">
        <v>66</v>
      </c>
      <c r="D296" s="479" t="s">
        <v>30</v>
      </c>
      <c r="E296" s="505">
        <v>50.98</v>
      </c>
      <c r="F296" s="488">
        <v>3364.68</v>
      </c>
      <c r="G296" s="460">
        <v>0</v>
      </c>
      <c r="H296" s="472"/>
      <c r="I296" s="472">
        <f t="shared" si="236"/>
        <v>0</v>
      </c>
      <c r="J296" s="473">
        <f t="shared" si="237"/>
        <v>0</v>
      </c>
      <c r="K296" s="474">
        <f t="shared" si="238"/>
        <v>0</v>
      </c>
      <c r="L296" s="474">
        <f t="shared" si="239"/>
        <v>0</v>
      </c>
      <c r="M296" s="474">
        <f t="shared" si="240"/>
        <v>0</v>
      </c>
      <c r="N296" s="475"/>
    </row>
    <row r="297" spans="1:14">
      <c r="A297" s="476">
        <v>2</v>
      </c>
      <c r="B297" s="506" t="s">
        <v>483</v>
      </c>
      <c r="C297" s="507"/>
      <c r="D297" s="497"/>
      <c r="E297" s="498"/>
      <c r="F297" s="552"/>
      <c r="G297" s="460"/>
      <c r="H297" s="463"/>
      <c r="I297" s="499"/>
      <c r="J297" s="463"/>
      <c r="K297" s="464"/>
      <c r="L297" s="464"/>
      <c r="M297" s="464"/>
      <c r="N297" s="466"/>
    </row>
    <row r="298" spans="1:14" s="446" customFormat="1" ht="12.75">
      <c r="A298" s="467">
        <v>2.0099999999999998</v>
      </c>
      <c r="B298" s="508" t="s">
        <v>496</v>
      </c>
      <c r="C298" s="469">
        <v>115.64</v>
      </c>
      <c r="D298" s="479" t="s">
        <v>30</v>
      </c>
      <c r="E298" s="505">
        <v>7309.4523762376239</v>
      </c>
      <c r="F298" s="488">
        <v>845265.07278811885</v>
      </c>
      <c r="G298" s="460">
        <v>115.64</v>
      </c>
      <c r="H298" s="472"/>
      <c r="I298" s="472">
        <f t="shared" ref="I298:I299" si="241">G298+H298</f>
        <v>115.64</v>
      </c>
      <c r="J298" s="473">
        <f t="shared" ref="J298:J299" si="242">I298/C298</f>
        <v>1</v>
      </c>
      <c r="K298" s="474">
        <f t="shared" ref="K298:K299" si="243">G298*E298</f>
        <v>845265.07278811885</v>
      </c>
      <c r="L298" s="474">
        <f t="shared" ref="L298:L299" si="244">H298*E298</f>
        <v>0</v>
      </c>
      <c r="M298" s="474">
        <f t="shared" ref="M298:M299" si="245">K298+L298</f>
        <v>845265.07278811885</v>
      </c>
      <c r="N298" s="475"/>
    </row>
    <row r="299" spans="1:14">
      <c r="A299" s="467">
        <v>2.02</v>
      </c>
      <c r="B299" s="508" t="s">
        <v>485</v>
      </c>
      <c r="C299" s="469">
        <v>33</v>
      </c>
      <c r="D299" s="479" t="s">
        <v>50</v>
      </c>
      <c r="E299" s="505">
        <v>6509.6</v>
      </c>
      <c r="F299" s="488">
        <v>214816.80000000002</v>
      </c>
      <c r="G299" s="460">
        <v>0</v>
      </c>
      <c r="H299" s="472">
        <v>33</v>
      </c>
      <c r="I299" s="472">
        <f t="shared" si="241"/>
        <v>33</v>
      </c>
      <c r="J299" s="473">
        <f t="shared" si="242"/>
        <v>1</v>
      </c>
      <c r="K299" s="474">
        <f t="shared" si="243"/>
        <v>0</v>
      </c>
      <c r="L299" s="474">
        <f t="shared" si="244"/>
        <v>214816.80000000002</v>
      </c>
      <c r="M299" s="474">
        <f t="shared" si="245"/>
        <v>214816.80000000002</v>
      </c>
      <c r="N299" s="466"/>
    </row>
    <row r="300" spans="1:14" s="493" customFormat="1" ht="12.75">
      <c r="A300" s="476">
        <v>3</v>
      </c>
      <c r="B300" s="506" t="s">
        <v>383</v>
      </c>
      <c r="C300" s="496"/>
      <c r="D300" s="497"/>
      <c r="E300" s="498"/>
      <c r="F300" s="552"/>
      <c r="G300" s="502"/>
      <c r="H300" s="482"/>
      <c r="I300" s="527"/>
      <c r="J300" s="482"/>
      <c r="K300" s="528"/>
      <c r="L300" s="529"/>
      <c r="M300" s="529"/>
      <c r="N300" s="492"/>
    </row>
    <row r="301" spans="1:14" s="446" customFormat="1" ht="12.75">
      <c r="A301" s="467">
        <v>3.01</v>
      </c>
      <c r="B301" s="508" t="s">
        <v>535</v>
      </c>
      <c r="C301" s="469">
        <v>11</v>
      </c>
      <c r="D301" s="479" t="s">
        <v>50</v>
      </c>
      <c r="E301" s="505">
        <v>8869.8119307999987</v>
      </c>
      <c r="F301" s="488">
        <v>97567.931238799982</v>
      </c>
      <c r="G301" s="460">
        <v>11</v>
      </c>
      <c r="H301" s="472"/>
      <c r="I301" s="472">
        <f t="shared" ref="I301:I304" si="246">G301+H301</f>
        <v>11</v>
      </c>
      <c r="J301" s="473">
        <f t="shared" ref="J301:J304" si="247">I301/C301</f>
        <v>1</v>
      </c>
      <c r="K301" s="474">
        <f t="shared" ref="K301:K304" si="248">G301*E301</f>
        <v>97567.931238799982</v>
      </c>
      <c r="L301" s="474">
        <f t="shared" ref="L301:L304" si="249">H301*E301</f>
        <v>0</v>
      </c>
      <c r="M301" s="474">
        <f t="shared" ref="M301:M304" si="250">K301+L301</f>
        <v>97567.931238799982</v>
      </c>
      <c r="N301" s="475"/>
    </row>
    <row r="302" spans="1:14" s="446" customFormat="1" ht="12.75">
      <c r="A302" s="467">
        <v>3.02</v>
      </c>
      <c r="B302" s="508" t="s">
        <v>536</v>
      </c>
      <c r="C302" s="469">
        <v>3</v>
      </c>
      <c r="D302" s="479" t="s">
        <v>50</v>
      </c>
      <c r="E302" s="505">
        <v>9630.0886407999988</v>
      </c>
      <c r="F302" s="488">
        <v>28890.265922399994</v>
      </c>
      <c r="G302" s="460">
        <v>3</v>
      </c>
      <c r="H302" s="472"/>
      <c r="I302" s="472">
        <f t="shared" si="246"/>
        <v>3</v>
      </c>
      <c r="J302" s="473">
        <f t="shared" si="247"/>
        <v>1</v>
      </c>
      <c r="K302" s="474">
        <f t="shared" si="248"/>
        <v>28890.265922399994</v>
      </c>
      <c r="L302" s="474">
        <f t="shared" si="249"/>
        <v>0</v>
      </c>
      <c r="M302" s="474">
        <f t="shared" si="250"/>
        <v>28890.265922399994</v>
      </c>
      <c r="N302" s="475"/>
    </row>
    <row r="303" spans="1:14" s="446" customFormat="1" ht="12.75">
      <c r="A303" s="467">
        <v>3.03</v>
      </c>
      <c r="B303" s="508" t="s">
        <v>537</v>
      </c>
      <c r="C303" s="469">
        <v>1</v>
      </c>
      <c r="D303" s="479" t="s">
        <v>50</v>
      </c>
      <c r="E303" s="505">
        <v>9598.3999134999976</v>
      </c>
      <c r="F303" s="488">
        <v>9598.3999134999976</v>
      </c>
      <c r="G303" s="460">
        <v>1</v>
      </c>
      <c r="H303" s="472"/>
      <c r="I303" s="472">
        <f t="shared" si="246"/>
        <v>1</v>
      </c>
      <c r="J303" s="473">
        <f t="shared" si="247"/>
        <v>1</v>
      </c>
      <c r="K303" s="474">
        <f t="shared" si="248"/>
        <v>9598.3999134999976</v>
      </c>
      <c r="L303" s="474">
        <f t="shared" si="249"/>
        <v>0</v>
      </c>
      <c r="M303" s="474">
        <f t="shared" si="250"/>
        <v>9598.3999134999976</v>
      </c>
      <c r="N303" s="475"/>
    </row>
    <row r="304" spans="1:14" s="446" customFormat="1" ht="12.75">
      <c r="A304" s="467">
        <v>3.04</v>
      </c>
      <c r="B304" s="508" t="s">
        <v>538</v>
      </c>
      <c r="C304" s="469">
        <v>1</v>
      </c>
      <c r="D304" s="479" t="s">
        <v>50</v>
      </c>
      <c r="E304" s="505">
        <v>5466.2849999999999</v>
      </c>
      <c r="F304" s="488">
        <v>5466.2849999999999</v>
      </c>
      <c r="G304" s="460">
        <v>1</v>
      </c>
      <c r="H304" s="472"/>
      <c r="I304" s="472">
        <f t="shared" si="246"/>
        <v>1</v>
      </c>
      <c r="J304" s="473">
        <f t="shared" si="247"/>
        <v>1</v>
      </c>
      <c r="K304" s="474">
        <f t="shared" si="248"/>
        <v>5466.2849999999999</v>
      </c>
      <c r="L304" s="474">
        <f t="shared" si="249"/>
        <v>0</v>
      </c>
      <c r="M304" s="474">
        <f t="shared" si="250"/>
        <v>5466.2849999999999</v>
      </c>
      <c r="N304" s="475"/>
    </row>
    <row r="305" spans="1:14" s="493" customFormat="1" ht="12.75">
      <c r="A305" s="476">
        <v>4</v>
      </c>
      <c r="B305" s="506" t="s">
        <v>490</v>
      </c>
      <c r="C305" s="496"/>
      <c r="D305" s="507"/>
      <c r="E305" s="507"/>
      <c r="F305" s="553"/>
      <c r="G305" s="482"/>
      <c r="H305" s="482"/>
      <c r="I305" s="527"/>
      <c r="J305" s="482"/>
      <c r="K305" s="528"/>
      <c r="L305" s="529"/>
      <c r="M305" s="529"/>
      <c r="N305" s="492"/>
    </row>
    <row r="306" spans="1:14">
      <c r="A306" s="467">
        <v>4.01</v>
      </c>
      <c r="B306" s="508" t="s">
        <v>33</v>
      </c>
      <c r="C306" s="469">
        <v>4120</v>
      </c>
      <c r="D306" s="479" t="s">
        <v>30</v>
      </c>
      <c r="E306" s="505">
        <v>87.27</v>
      </c>
      <c r="F306" s="488">
        <v>359552.39999999997</v>
      </c>
      <c r="G306" s="460">
        <v>4120</v>
      </c>
      <c r="H306" s="472"/>
      <c r="I306" s="472">
        <f t="shared" ref="I306" si="251">G306+H306</f>
        <v>4120</v>
      </c>
      <c r="J306" s="473">
        <f t="shared" ref="J306" si="252">I306/C306</f>
        <v>1</v>
      </c>
      <c r="K306" s="474">
        <f t="shared" ref="K306" si="253">G306*E306</f>
        <v>359552.39999999997</v>
      </c>
      <c r="L306" s="474">
        <f t="shared" ref="L306" si="254">H306*E306</f>
        <v>0</v>
      </c>
      <c r="M306" s="474">
        <f t="shared" ref="M306" si="255">K306+L306</f>
        <v>359552.39999999997</v>
      </c>
      <c r="N306" s="466"/>
    </row>
    <row r="307" spans="1:14">
      <c r="A307" s="476">
        <v>5</v>
      </c>
      <c r="B307" s="506" t="s">
        <v>539</v>
      </c>
      <c r="C307" s="469"/>
      <c r="D307" s="479"/>
      <c r="E307" s="480"/>
      <c r="F307" s="480"/>
      <c r="G307" s="463"/>
      <c r="H307" s="463"/>
      <c r="I307" s="521"/>
      <c r="J307" s="487"/>
      <c r="K307" s="503"/>
      <c r="L307" s="464"/>
      <c r="M307" s="464"/>
      <c r="N307" s="466"/>
    </row>
    <row r="308" spans="1:14">
      <c r="A308" s="467">
        <v>5.01</v>
      </c>
      <c r="B308" s="508" t="s">
        <v>377</v>
      </c>
      <c r="C308" s="469">
        <v>85</v>
      </c>
      <c r="D308" s="479" t="s">
        <v>50</v>
      </c>
      <c r="E308" s="505">
        <v>3819.7368000000001</v>
      </c>
      <c r="F308" s="488">
        <v>324677.63</v>
      </c>
      <c r="G308" s="460">
        <v>85</v>
      </c>
      <c r="H308" s="472"/>
      <c r="I308" s="472">
        <f t="shared" ref="I308" si="256">G308+H308</f>
        <v>85</v>
      </c>
      <c r="J308" s="473">
        <f t="shared" ref="J308" si="257">I308/C308</f>
        <v>1</v>
      </c>
      <c r="K308" s="474">
        <f t="shared" ref="K308" si="258">G308*E308</f>
        <v>324677.62800000003</v>
      </c>
      <c r="L308" s="474">
        <f t="shared" ref="L308" si="259">H308*E308</f>
        <v>0</v>
      </c>
      <c r="M308" s="474">
        <f t="shared" ref="M308" si="260">K308+L308</f>
        <v>324677.62800000003</v>
      </c>
      <c r="N308" s="466"/>
    </row>
    <row r="309" spans="1:14" s="493" customFormat="1" ht="12.75">
      <c r="A309" s="476">
        <v>6</v>
      </c>
      <c r="B309" s="506" t="s">
        <v>487</v>
      </c>
      <c r="C309" s="496"/>
      <c r="D309" s="497"/>
      <c r="E309" s="498"/>
      <c r="F309" s="498"/>
      <c r="G309" s="482"/>
      <c r="H309" s="482"/>
      <c r="I309" s="527"/>
      <c r="J309" s="551"/>
      <c r="K309" s="503"/>
      <c r="L309" s="503"/>
      <c r="M309" s="503"/>
      <c r="N309" s="492"/>
    </row>
    <row r="310" spans="1:14" s="493" customFormat="1" ht="24">
      <c r="A310" s="467">
        <v>6.01</v>
      </c>
      <c r="B310" s="508" t="s">
        <v>540</v>
      </c>
      <c r="C310" s="469">
        <v>3</v>
      </c>
      <c r="D310" s="479" t="s">
        <v>50</v>
      </c>
      <c r="E310" s="480">
        <v>25672.67</v>
      </c>
      <c r="F310" s="505">
        <v>77018.009999999995</v>
      </c>
      <c r="G310" s="460">
        <v>3</v>
      </c>
      <c r="H310" s="472"/>
      <c r="I310" s="472">
        <f t="shared" ref="I310:I311" si="261">G310+H310</f>
        <v>3</v>
      </c>
      <c r="J310" s="473">
        <f t="shared" ref="J310:J311" si="262">I310/C310</f>
        <v>1</v>
      </c>
      <c r="K310" s="474">
        <f t="shared" ref="K310:K311" si="263">G310*E310</f>
        <v>77018.009999999995</v>
      </c>
      <c r="L310" s="474">
        <f t="shared" ref="L310:L311" si="264">H310*E310</f>
        <v>0</v>
      </c>
      <c r="M310" s="474">
        <f t="shared" ref="M310:M311" si="265">K310+L310</f>
        <v>77018.009999999995</v>
      </c>
      <c r="N310" s="492"/>
    </row>
    <row r="311" spans="1:14">
      <c r="A311" s="467">
        <v>6.02</v>
      </c>
      <c r="B311" s="508" t="s">
        <v>541</v>
      </c>
      <c r="C311" s="469">
        <v>3</v>
      </c>
      <c r="D311" s="479" t="s">
        <v>50</v>
      </c>
      <c r="E311" s="488">
        <v>32175</v>
      </c>
      <c r="F311" s="488">
        <v>96525</v>
      </c>
      <c r="G311" s="460">
        <v>0</v>
      </c>
      <c r="H311" s="472"/>
      <c r="I311" s="472">
        <f t="shared" si="261"/>
        <v>0</v>
      </c>
      <c r="J311" s="473">
        <f t="shared" si="262"/>
        <v>0</v>
      </c>
      <c r="K311" s="474">
        <f t="shared" si="263"/>
        <v>0</v>
      </c>
      <c r="L311" s="474">
        <f t="shared" si="264"/>
        <v>0</v>
      </c>
      <c r="M311" s="474">
        <f t="shared" si="265"/>
        <v>0</v>
      </c>
      <c r="N311" s="466"/>
    </row>
    <row r="312" spans="1:14" s="493" customFormat="1" ht="12.75">
      <c r="A312" s="476"/>
      <c r="B312" s="477" t="s">
        <v>44</v>
      </c>
      <c r="C312" s="507"/>
      <c r="D312" s="497"/>
      <c r="E312" s="498"/>
      <c r="F312" s="481">
        <f>SUM(F276:F311)</f>
        <v>9209139.2635006607</v>
      </c>
      <c r="G312" s="482"/>
      <c r="H312" s="482"/>
      <c r="I312" s="527"/>
      <c r="J312" s="482"/>
      <c r="K312" s="547">
        <f>SUM(K276:K311)</f>
        <v>8851576.0914808642</v>
      </c>
      <c r="L312" s="548">
        <f>SUM(L276:L311)</f>
        <v>214816.80000000002</v>
      </c>
      <c r="M312" s="548">
        <f>K312+L312</f>
        <v>9066392.891480865</v>
      </c>
      <c r="N312" s="492"/>
    </row>
    <row r="313" spans="1:14" s="493" customFormat="1" ht="12.75">
      <c r="A313" s="476" t="s">
        <v>238</v>
      </c>
      <c r="B313" s="506" t="s">
        <v>542</v>
      </c>
      <c r="C313" s="496"/>
      <c r="D313" s="497"/>
      <c r="E313" s="498"/>
      <c r="F313" s="498"/>
      <c r="G313" s="482"/>
      <c r="H313" s="482"/>
      <c r="I313" s="527"/>
      <c r="J313" s="551"/>
      <c r="K313" s="503"/>
      <c r="L313" s="503"/>
      <c r="M313" s="503"/>
      <c r="N313" s="492"/>
    </row>
    <row r="314" spans="1:14" s="493" customFormat="1" ht="12.75">
      <c r="A314" s="476">
        <v>1</v>
      </c>
      <c r="B314" s="506" t="s">
        <v>365</v>
      </c>
      <c r="C314" s="469"/>
      <c r="D314" s="479"/>
      <c r="E314" s="480"/>
      <c r="F314" s="480"/>
      <c r="G314" s="502"/>
      <c r="H314" s="482"/>
      <c r="I314" s="527"/>
      <c r="J314" s="482"/>
      <c r="K314" s="528"/>
      <c r="L314" s="529"/>
      <c r="M314" s="529"/>
      <c r="N314" s="492"/>
    </row>
    <row r="315" spans="1:14">
      <c r="A315" s="467">
        <v>1.01</v>
      </c>
      <c r="B315" s="508" t="s">
        <v>29</v>
      </c>
      <c r="C315" s="469">
        <v>990</v>
      </c>
      <c r="D315" s="479" t="s">
        <v>264</v>
      </c>
      <c r="E315" s="488">
        <v>60</v>
      </c>
      <c r="F315" s="488">
        <v>59400</v>
      </c>
      <c r="G315" s="460">
        <v>990</v>
      </c>
      <c r="H315" s="472"/>
      <c r="I315" s="472">
        <f t="shared" ref="I315" si="266">G315+H315</f>
        <v>990</v>
      </c>
      <c r="J315" s="473">
        <f t="shared" ref="J315" si="267">I315/C315</f>
        <v>1</v>
      </c>
      <c r="K315" s="474">
        <f t="shared" ref="K315" si="268">G315*E315</f>
        <v>59400</v>
      </c>
      <c r="L315" s="474">
        <f t="shared" ref="L315" si="269">H315*E315</f>
        <v>0</v>
      </c>
      <c r="M315" s="474">
        <f t="shared" ref="M315" si="270">K315+L315</f>
        <v>59400</v>
      </c>
      <c r="N315" s="466"/>
    </row>
    <row r="316" spans="1:14">
      <c r="A316" s="476">
        <v>2</v>
      </c>
      <c r="B316" s="506" t="s">
        <v>250</v>
      </c>
      <c r="C316" s="469"/>
      <c r="D316" s="479"/>
      <c r="E316" s="480"/>
      <c r="F316" s="505"/>
      <c r="G316" s="463"/>
      <c r="H316" s="463"/>
      <c r="I316" s="499"/>
      <c r="J316" s="463"/>
      <c r="K316" s="464"/>
      <c r="L316" s="464"/>
      <c r="M316" s="464"/>
      <c r="N316" s="466"/>
    </row>
    <row r="317" spans="1:14" s="493" customFormat="1" ht="12.75">
      <c r="A317" s="467">
        <v>2.0099999999999998</v>
      </c>
      <c r="B317" s="508" t="s">
        <v>37</v>
      </c>
      <c r="C317" s="469">
        <v>641.5200000000001</v>
      </c>
      <c r="D317" s="479" t="s">
        <v>38</v>
      </c>
      <c r="E317" s="488">
        <v>198</v>
      </c>
      <c r="F317" s="488">
        <v>127020.96</v>
      </c>
      <c r="G317" s="460">
        <v>641.5200000000001</v>
      </c>
      <c r="H317" s="472"/>
      <c r="I317" s="472">
        <f t="shared" ref="I317:I321" si="271">G317+H317</f>
        <v>641.5200000000001</v>
      </c>
      <c r="J317" s="473">
        <f t="shared" ref="J317:J321" si="272">I317/C317</f>
        <v>1</v>
      </c>
      <c r="K317" s="474">
        <f t="shared" ref="K317:K321" si="273">G317*E317</f>
        <v>127020.96000000002</v>
      </c>
      <c r="L317" s="474">
        <f t="shared" ref="L317:L321" si="274">H317*E317</f>
        <v>0</v>
      </c>
      <c r="M317" s="474">
        <f t="shared" ref="M317:M321" si="275">K317+L317</f>
        <v>127020.96000000002</v>
      </c>
      <c r="N317" s="492"/>
    </row>
    <row r="318" spans="1:14">
      <c r="A318" s="467">
        <v>2.02</v>
      </c>
      <c r="B318" s="508" t="s">
        <v>369</v>
      </c>
      <c r="C318" s="469">
        <v>59.400000000000006</v>
      </c>
      <c r="D318" s="479" t="s">
        <v>38</v>
      </c>
      <c r="E318" s="488">
        <v>940.5</v>
      </c>
      <c r="F318" s="488">
        <v>55865.7</v>
      </c>
      <c r="G318" s="460">
        <v>59.400000000000006</v>
      </c>
      <c r="H318" s="472"/>
      <c r="I318" s="472">
        <f t="shared" si="271"/>
        <v>59.400000000000006</v>
      </c>
      <c r="J318" s="473">
        <f t="shared" si="272"/>
        <v>1</v>
      </c>
      <c r="K318" s="474">
        <f t="shared" si="273"/>
        <v>55865.700000000004</v>
      </c>
      <c r="L318" s="474">
        <f t="shared" si="274"/>
        <v>0</v>
      </c>
      <c r="M318" s="474">
        <f t="shared" si="275"/>
        <v>55865.700000000004</v>
      </c>
      <c r="N318" s="466"/>
    </row>
    <row r="319" spans="1:14" s="446" customFormat="1" ht="12.75">
      <c r="A319" s="467">
        <v>2.0299999999999998</v>
      </c>
      <c r="B319" s="508" t="s">
        <v>370</v>
      </c>
      <c r="C319" s="469">
        <v>384.91200000000003</v>
      </c>
      <c r="D319" s="479" t="s">
        <v>38</v>
      </c>
      <c r="E319" s="488">
        <v>539.54999999999995</v>
      </c>
      <c r="F319" s="488">
        <v>207679.27</v>
      </c>
      <c r="G319" s="460">
        <v>384.91200000000003</v>
      </c>
      <c r="H319" s="472"/>
      <c r="I319" s="472">
        <f t="shared" si="271"/>
        <v>384.91200000000003</v>
      </c>
      <c r="J319" s="473">
        <f t="shared" si="272"/>
        <v>1</v>
      </c>
      <c r="K319" s="474">
        <f t="shared" si="273"/>
        <v>207679.2696</v>
      </c>
      <c r="L319" s="474">
        <f t="shared" si="274"/>
        <v>0</v>
      </c>
      <c r="M319" s="474">
        <f t="shared" si="275"/>
        <v>207679.2696</v>
      </c>
      <c r="N319" s="475"/>
    </row>
    <row r="320" spans="1:14" s="446" customFormat="1" ht="12.75">
      <c r="A320" s="467">
        <v>2.04</v>
      </c>
      <c r="B320" s="508" t="s">
        <v>253</v>
      </c>
      <c r="C320" s="469">
        <v>320.7600000000001</v>
      </c>
      <c r="D320" s="479" t="s">
        <v>38</v>
      </c>
      <c r="E320" s="488">
        <v>247.5</v>
      </c>
      <c r="F320" s="488">
        <v>79388.100000000006</v>
      </c>
      <c r="G320" s="460">
        <v>320.7600000000001</v>
      </c>
      <c r="H320" s="472"/>
      <c r="I320" s="472">
        <f t="shared" si="271"/>
        <v>320.7600000000001</v>
      </c>
      <c r="J320" s="473">
        <f t="shared" si="272"/>
        <v>1</v>
      </c>
      <c r="K320" s="474">
        <f t="shared" si="273"/>
        <v>79388.10000000002</v>
      </c>
      <c r="L320" s="474">
        <f t="shared" si="274"/>
        <v>0</v>
      </c>
      <c r="M320" s="474">
        <f t="shared" si="275"/>
        <v>79388.10000000002</v>
      </c>
      <c r="N320" s="475"/>
    </row>
    <row r="321" spans="1:14" ht="24">
      <c r="A321" s="467">
        <v>2.0499999999999998</v>
      </c>
      <c r="B321" s="508" t="s">
        <v>371</v>
      </c>
      <c r="C321" s="469">
        <v>192.45600000000002</v>
      </c>
      <c r="D321" s="479" t="s">
        <v>38</v>
      </c>
      <c r="E321" s="488">
        <v>762.3</v>
      </c>
      <c r="F321" s="488">
        <v>146709.21</v>
      </c>
      <c r="G321" s="460">
        <v>192.45600000000002</v>
      </c>
      <c r="H321" s="472"/>
      <c r="I321" s="472">
        <f t="shared" si="271"/>
        <v>192.45600000000002</v>
      </c>
      <c r="J321" s="473">
        <f t="shared" si="272"/>
        <v>1</v>
      </c>
      <c r="K321" s="474">
        <f t="shared" si="273"/>
        <v>146709.20879999999</v>
      </c>
      <c r="L321" s="474">
        <f t="shared" si="274"/>
        <v>0</v>
      </c>
      <c r="M321" s="474">
        <f t="shared" si="275"/>
        <v>146709.20879999999</v>
      </c>
      <c r="N321" s="466"/>
    </row>
    <row r="322" spans="1:14">
      <c r="A322" s="476">
        <v>3</v>
      </c>
      <c r="B322" s="506" t="s">
        <v>372</v>
      </c>
      <c r="C322" s="478"/>
      <c r="D322" s="479"/>
      <c r="E322" s="480"/>
      <c r="F322" s="505"/>
      <c r="G322" s="460"/>
      <c r="H322" s="463"/>
      <c r="I322" s="499"/>
      <c r="J322" s="463"/>
      <c r="K322" s="464"/>
      <c r="L322" s="464"/>
      <c r="M322" s="464"/>
      <c r="N322" s="466"/>
    </row>
    <row r="323" spans="1:14">
      <c r="A323" s="467">
        <v>3.01</v>
      </c>
      <c r="B323" s="508" t="s">
        <v>543</v>
      </c>
      <c r="C323" s="469">
        <v>1039.5</v>
      </c>
      <c r="D323" s="479" t="s">
        <v>264</v>
      </c>
      <c r="E323" s="488">
        <v>809.30424071835603</v>
      </c>
      <c r="F323" s="488">
        <f>C323*E323</f>
        <v>841271.75822673109</v>
      </c>
      <c r="G323" s="460">
        <v>1039.5</v>
      </c>
      <c r="H323" s="472"/>
      <c r="I323" s="472">
        <f t="shared" ref="I323" si="276">G323+H323</f>
        <v>1039.5</v>
      </c>
      <c r="J323" s="473">
        <f t="shared" ref="J323" si="277">I323/C323</f>
        <v>1</v>
      </c>
      <c r="K323" s="474">
        <f t="shared" ref="K323" si="278">G323*E323</f>
        <v>841271.75822673109</v>
      </c>
      <c r="L323" s="474">
        <f t="shared" ref="L323" si="279">H323*E323</f>
        <v>0</v>
      </c>
      <c r="M323" s="474">
        <f t="shared" ref="M323" si="280">K323+L323</f>
        <v>841271.75822673109</v>
      </c>
      <c r="N323" s="466"/>
    </row>
    <row r="324" spans="1:14" s="493" customFormat="1" ht="12.75">
      <c r="A324" s="476">
        <v>4</v>
      </c>
      <c r="B324" s="506" t="s">
        <v>374</v>
      </c>
      <c r="C324" s="496"/>
      <c r="D324" s="497"/>
      <c r="E324" s="498"/>
      <c r="F324" s="498"/>
      <c r="G324" s="482"/>
      <c r="H324" s="482"/>
      <c r="I324" s="483"/>
      <c r="J324" s="482"/>
      <c r="K324" s="503"/>
      <c r="L324" s="503"/>
      <c r="M324" s="503"/>
      <c r="N324" s="492"/>
    </row>
    <row r="325" spans="1:14">
      <c r="A325" s="467">
        <v>4.01</v>
      </c>
      <c r="B325" s="508" t="s">
        <v>544</v>
      </c>
      <c r="C325" s="469">
        <v>990</v>
      </c>
      <c r="D325" s="479" t="s">
        <v>30</v>
      </c>
      <c r="E325" s="488">
        <v>60</v>
      </c>
      <c r="F325" s="488">
        <v>59400</v>
      </c>
      <c r="G325" s="460">
        <v>990</v>
      </c>
      <c r="H325" s="472"/>
      <c r="I325" s="472">
        <f t="shared" ref="I325" si="281">G325+H325</f>
        <v>990</v>
      </c>
      <c r="J325" s="473">
        <f t="shared" ref="J325" si="282">I325/C325</f>
        <v>1</v>
      </c>
      <c r="K325" s="474">
        <f t="shared" ref="K325" si="283">G325*E325</f>
        <v>59400</v>
      </c>
      <c r="L325" s="474">
        <f t="shared" ref="L325" si="284">H325*E325</f>
        <v>0</v>
      </c>
      <c r="M325" s="474">
        <f t="shared" ref="M325" si="285">K325+L325</f>
        <v>59400</v>
      </c>
      <c r="N325" s="466"/>
    </row>
    <row r="326" spans="1:14" s="493" customFormat="1" ht="12.75">
      <c r="A326" s="476">
        <v>5</v>
      </c>
      <c r="B326" s="506" t="s">
        <v>483</v>
      </c>
      <c r="C326" s="507"/>
      <c r="D326" s="497"/>
      <c r="E326" s="498"/>
      <c r="F326" s="552"/>
      <c r="G326" s="482"/>
      <c r="H326" s="482"/>
      <c r="I326" s="483"/>
      <c r="J326" s="482"/>
      <c r="K326" s="503"/>
      <c r="L326" s="503"/>
      <c r="M326" s="503"/>
      <c r="N326" s="492"/>
    </row>
    <row r="327" spans="1:14" s="446" customFormat="1" ht="12.75">
      <c r="A327" s="467">
        <v>5.01</v>
      </c>
      <c r="B327" s="508" t="s">
        <v>545</v>
      </c>
      <c r="C327" s="469">
        <v>45.72</v>
      </c>
      <c r="D327" s="479" t="s">
        <v>30</v>
      </c>
      <c r="E327" s="488">
        <v>5527.9698019801981</v>
      </c>
      <c r="F327" s="488">
        <v>252738.78</v>
      </c>
      <c r="G327" s="460">
        <v>45.72</v>
      </c>
      <c r="H327" s="472"/>
      <c r="I327" s="472">
        <f t="shared" ref="I327:I328" si="286">G327+H327</f>
        <v>45.72</v>
      </c>
      <c r="J327" s="473">
        <f t="shared" ref="J327:J328" si="287">I327/C327</f>
        <v>1</v>
      </c>
      <c r="K327" s="474">
        <f t="shared" ref="K327:K328" si="288">G327*E327</f>
        <v>252738.77934653466</v>
      </c>
      <c r="L327" s="474">
        <f t="shared" ref="L327:L328" si="289">H327*E327</f>
        <v>0</v>
      </c>
      <c r="M327" s="474">
        <f t="shared" ref="M327:M328" si="290">K327+L327</f>
        <v>252738.77934653466</v>
      </c>
      <c r="N327" s="475"/>
    </row>
    <row r="328" spans="1:14">
      <c r="A328" s="467">
        <v>5.0199999999999996</v>
      </c>
      <c r="B328" s="508" t="s">
        <v>485</v>
      </c>
      <c r="C328" s="469">
        <v>4</v>
      </c>
      <c r="D328" s="479" t="s">
        <v>50</v>
      </c>
      <c r="E328" s="488">
        <v>6509.6</v>
      </c>
      <c r="F328" s="488">
        <v>26038.400000000001</v>
      </c>
      <c r="G328" s="460">
        <v>4</v>
      </c>
      <c r="H328" s="472"/>
      <c r="I328" s="472">
        <f t="shared" si="286"/>
        <v>4</v>
      </c>
      <c r="J328" s="473">
        <f t="shared" si="287"/>
        <v>1</v>
      </c>
      <c r="K328" s="474">
        <f t="shared" si="288"/>
        <v>26038.400000000001</v>
      </c>
      <c r="L328" s="474">
        <f t="shared" si="289"/>
        <v>0</v>
      </c>
      <c r="M328" s="474">
        <f t="shared" si="290"/>
        <v>26038.400000000001</v>
      </c>
      <c r="N328" s="466"/>
    </row>
    <row r="329" spans="1:14">
      <c r="A329" s="476">
        <v>6</v>
      </c>
      <c r="B329" s="506" t="s">
        <v>539</v>
      </c>
      <c r="C329" s="469"/>
      <c r="D329" s="479"/>
      <c r="E329" s="480"/>
      <c r="F329" s="505"/>
      <c r="G329" s="463"/>
      <c r="H329" s="463"/>
      <c r="I329" s="521"/>
      <c r="J329" s="463"/>
      <c r="K329" s="522"/>
      <c r="L329" s="465"/>
      <c r="M329" s="465"/>
      <c r="N329" s="466"/>
    </row>
    <row r="330" spans="1:14">
      <c r="A330" s="467">
        <v>6.01</v>
      </c>
      <c r="B330" s="508" t="s">
        <v>377</v>
      </c>
      <c r="C330" s="469">
        <v>6</v>
      </c>
      <c r="D330" s="479" t="s">
        <v>50</v>
      </c>
      <c r="E330" s="488">
        <v>3819.7368000000001</v>
      </c>
      <c r="F330" s="488">
        <v>22918.42</v>
      </c>
      <c r="G330" s="460">
        <v>6</v>
      </c>
      <c r="H330" s="472"/>
      <c r="I330" s="472">
        <f t="shared" ref="I330" si="291">G330+H330</f>
        <v>6</v>
      </c>
      <c r="J330" s="473">
        <f t="shared" ref="J330" si="292">I330/C330</f>
        <v>1</v>
      </c>
      <c r="K330" s="474">
        <f t="shared" ref="K330" si="293">G330*E330</f>
        <v>22918.4208</v>
      </c>
      <c r="L330" s="474">
        <f t="shared" ref="L330" si="294">H330*E330</f>
        <v>0</v>
      </c>
      <c r="M330" s="474">
        <f t="shared" ref="M330" si="295">K330+L330</f>
        <v>22918.4208</v>
      </c>
      <c r="N330" s="466"/>
    </row>
    <row r="331" spans="1:14" s="493" customFormat="1" ht="12.75">
      <c r="A331" s="476">
        <v>7</v>
      </c>
      <c r="B331" s="506" t="s">
        <v>487</v>
      </c>
      <c r="C331" s="496"/>
      <c r="D331" s="497"/>
      <c r="E331" s="498"/>
      <c r="F331" s="552"/>
      <c r="G331" s="482"/>
      <c r="H331" s="482"/>
      <c r="I331" s="483"/>
      <c r="J331" s="482"/>
      <c r="K331" s="503"/>
      <c r="L331" s="503"/>
      <c r="M331" s="503"/>
      <c r="N331" s="492"/>
    </row>
    <row r="332" spans="1:14" s="446" customFormat="1" ht="24">
      <c r="A332" s="467">
        <v>7.01</v>
      </c>
      <c r="B332" s="508" t="s">
        <v>546</v>
      </c>
      <c r="C332" s="469">
        <v>1</v>
      </c>
      <c r="D332" s="479" t="s">
        <v>50</v>
      </c>
      <c r="E332" s="488">
        <v>38341.620000000003</v>
      </c>
      <c r="F332" s="488">
        <v>38341.620000000003</v>
      </c>
      <c r="G332" s="460">
        <v>1</v>
      </c>
      <c r="H332" s="472"/>
      <c r="I332" s="472">
        <f t="shared" ref="I332:I333" si="296">G332+H332</f>
        <v>1</v>
      </c>
      <c r="J332" s="473">
        <f t="shared" ref="J332:J333" si="297">I332/C332</f>
        <v>1</v>
      </c>
      <c r="K332" s="474">
        <f t="shared" ref="K332:K333" si="298">G332*E332</f>
        <v>38341.620000000003</v>
      </c>
      <c r="L332" s="474">
        <f t="shared" ref="L332:L333" si="299">H332*E332</f>
        <v>0</v>
      </c>
      <c r="M332" s="474">
        <f t="shared" ref="M332:M333" si="300">K332+L332</f>
        <v>38341.620000000003</v>
      </c>
      <c r="N332" s="475"/>
    </row>
    <row r="333" spans="1:14">
      <c r="A333" s="467">
        <v>7.02</v>
      </c>
      <c r="B333" s="508" t="s">
        <v>547</v>
      </c>
      <c r="C333" s="469">
        <v>1</v>
      </c>
      <c r="D333" s="479" t="s">
        <v>50</v>
      </c>
      <c r="E333" s="488">
        <v>32175</v>
      </c>
      <c r="F333" s="488">
        <v>32175</v>
      </c>
      <c r="G333" s="460">
        <v>1</v>
      </c>
      <c r="H333" s="472"/>
      <c r="I333" s="472">
        <f t="shared" si="296"/>
        <v>1</v>
      </c>
      <c r="J333" s="473">
        <f t="shared" si="297"/>
        <v>1</v>
      </c>
      <c r="K333" s="474">
        <f t="shared" si="298"/>
        <v>32175</v>
      </c>
      <c r="L333" s="474">
        <f t="shared" si="299"/>
        <v>0</v>
      </c>
      <c r="M333" s="474">
        <f t="shared" si="300"/>
        <v>32175</v>
      </c>
      <c r="N333" s="466"/>
    </row>
    <row r="334" spans="1:14" s="555" customFormat="1" ht="12.75">
      <c r="A334" s="476">
        <v>8</v>
      </c>
      <c r="B334" s="506" t="s">
        <v>383</v>
      </c>
      <c r="C334" s="496"/>
      <c r="D334" s="497"/>
      <c r="E334" s="498"/>
      <c r="F334" s="552"/>
      <c r="G334" s="482"/>
      <c r="H334" s="482"/>
      <c r="I334" s="482"/>
      <c r="J334" s="482"/>
      <c r="K334" s="528"/>
      <c r="L334" s="528"/>
      <c r="M334" s="528"/>
      <c r="N334" s="554"/>
    </row>
    <row r="335" spans="1:14" s="515" customFormat="1" ht="17.100000000000001" customHeight="1">
      <c r="A335" s="489">
        <v>8.01</v>
      </c>
      <c r="B335" s="508" t="s">
        <v>548</v>
      </c>
      <c r="C335" s="490">
        <v>1</v>
      </c>
      <c r="D335" s="479" t="s">
        <v>50</v>
      </c>
      <c r="E335" s="491">
        <v>5296.5359307999997</v>
      </c>
      <c r="F335" s="491">
        <v>5296.5359307999997</v>
      </c>
      <c r="G335" s="460">
        <v>1</v>
      </c>
      <c r="H335" s="472"/>
      <c r="I335" s="472">
        <f t="shared" ref="I335:I336" si="301">G335+H335</f>
        <v>1</v>
      </c>
      <c r="J335" s="473">
        <f t="shared" ref="J335:J336" si="302">I335/C335</f>
        <v>1</v>
      </c>
      <c r="K335" s="474">
        <f t="shared" ref="K335:K336" si="303">G335*E335</f>
        <v>5296.5359307999997</v>
      </c>
      <c r="L335" s="474">
        <f t="shared" ref="L335:L336" si="304">H335*E335</f>
        <v>0</v>
      </c>
      <c r="M335" s="474">
        <f t="shared" ref="M335:M337" si="305">K335+L335</f>
        <v>5296.5359307999997</v>
      </c>
      <c r="N335" s="514"/>
    </row>
    <row r="336" spans="1:14">
      <c r="A336" s="467">
        <v>8.02</v>
      </c>
      <c r="B336" s="556" t="s">
        <v>549</v>
      </c>
      <c r="C336" s="490">
        <v>1</v>
      </c>
      <c r="D336" s="478" t="s">
        <v>50</v>
      </c>
      <c r="E336" s="557">
        <v>6025.1239134999996</v>
      </c>
      <c r="F336" s="558">
        <v>6025.1239134999996</v>
      </c>
      <c r="G336" s="460">
        <v>1</v>
      </c>
      <c r="H336" s="472"/>
      <c r="I336" s="472">
        <f t="shared" si="301"/>
        <v>1</v>
      </c>
      <c r="J336" s="473">
        <f t="shared" si="302"/>
        <v>1</v>
      </c>
      <c r="K336" s="474">
        <f t="shared" si="303"/>
        <v>6025.1239134999996</v>
      </c>
      <c r="L336" s="474">
        <f t="shared" si="304"/>
        <v>0</v>
      </c>
      <c r="M336" s="474">
        <f t="shared" si="305"/>
        <v>6025.1239134999996</v>
      </c>
      <c r="N336" s="466"/>
    </row>
    <row r="337" spans="1:14" s="493" customFormat="1" ht="12.75">
      <c r="A337" s="476"/>
      <c r="B337" s="477" t="s">
        <v>245</v>
      </c>
      <c r="C337" s="476"/>
      <c r="D337" s="507"/>
      <c r="E337" s="476"/>
      <c r="F337" s="559">
        <f>SUM(F315:F336)</f>
        <v>1960268.8780710311</v>
      </c>
      <c r="G337" s="482"/>
      <c r="H337" s="482"/>
      <c r="I337" s="482"/>
      <c r="J337" s="482"/>
      <c r="K337" s="547">
        <f>SUM(K315:K336)</f>
        <v>1960268.8766175658</v>
      </c>
      <c r="L337" s="547">
        <f>SUM(L315:L336)</f>
        <v>0</v>
      </c>
      <c r="M337" s="484">
        <f t="shared" si="305"/>
        <v>1960268.8766175658</v>
      </c>
      <c r="N337" s="492"/>
    </row>
    <row r="338" spans="1:14" s="493" customFormat="1" ht="24">
      <c r="A338" s="476" t="s">
        <v>241</v>
      </c>
      <c r="B338" s="506" t="s">
        <v>550</v>
      </c>
      <c r="C338" s="476"/>
      <c r="D338" s="507"/>
      <c r="E338" s="476"/>
      <c r="F338" s="506"/>
      <c r="G338" s="482"/>
      <c r="H338" s="482"/>
      <c r="I338" s="482"/>
      <c r="J338" s="482"/>
      <c r="K338" s="528"/>
      <c r="L338" s="528"/>
      <c r="M338" s="528"/>
      <c r="N338" s="492"/>
    </row>
    <row r="339" spans="1:14" s="493" customFormat="1" ht="12.95" customHeight="1">
      <c r="A339" s="476">
        <v>1</v>
      </c>
      <c r="B339" s="477" t="s">
        <v>365</v>
      </c>
      <c r="C339" s="476"/>
      <c r="D339" s="507"/>
      <c r="E339" s="476"/>
      <c r="F339" s="476"/>
      <c r="G339" s="482"/>
      <c r="H339" s="482"/>
      <c r="I339" s="482"/>
      <c r="J339" s="482"/>
      <c r="K339" s="528"/>
      <c r="L339" s="528"/>
      <c r="M339" s="528"/>
      <c r="N339" s="492"/>
    </row>
    <row r="340" spans="1:14" ht="12.95" customHeight="1">
      <c r="A340" s="467">
        <v>1.01</v>
      </c>
      <c r="B340" s="556" t="s">
        <v>29</v>
      </c>
      <c r="C340" s="490">
        <v>1580</v>
      </c>
      <c r="D340" s="478" t="s">
        <v>264</v>
      </c>
      <c r="E340" s="467">
        <v>60</v>
      </c>
      <c r="F340" s="471">
        <v>94800</v>
      </c>
      <c r="G340" s="460">
        <v>1580</v>
      </c>
      <c r="H340" s="472"/>
      <c r="I340" s="472">
        <f t="shared" ref="I340" si="306">G340+H340</f>
        <v>1580</v>
      </c>
      <c r="J340" s="473">
        <f t="shared" ref="J340" si="307">I340/C340</f>
        <v>1</v>
      </c>
      <c r="K340" s="474">
        <f t="shared" ref="K340" si="308">G340*E340</f>
        <v>94800</v>
      </c>
      <c r="L340" s="474">
        <f t="shared" ref="L340" si="309">H340*E340</f>
        <v>0</v>
      </c>
      <c r="M340" s="474">
        <f t="shared" ref="M340" si="310">K340+L340</f>
        <v>94800</v>
      </c>
      <c r="N340" s="466"/>
    </row>
    <row r="341" spans="1:14" s="493" customFormat="1" ht="12.75">
      <c r="A341" s="476">
        <v>2</v>
      </c>
      <c r="B341" s="477" t="s">
        <v>250</v>
      </c>
      <c r="C341" s="490"/>
      <c r="D341" s="507"/>
      <c r="E341" s="476"/>
      <c r="F341" s="559"/>
      <c r="G341" s="482"/>
      <c r="H341" s="482"/>
      <c r="I341" s="482"/>
      <c r="J341" s="482"/>
      <c r="K341" s="528"/>
      <c r="L341" s="528"/>
      <c r="M341" s="528"/>
      <c r="N341" s="456"/>
    </row>
    <row r="342" spans="1:14">
      <c r="A342" s="467">
        <v>2.0099999999999998</v>
      </c>
      <c r="B342" s="556" t="s">
        <v>37</v>
      </c>
      <c r="C342" s="490">
        <v>1023.84</v>
      </c>
      <c r="D342" s="478" t="s">
        <v>38</v>
      </c>
      <c r="E342" s="467">
        <v>198</v>
      </c>
      <c r="F342" s="471">
        <v>202720.32</v>
      </c>
      <c r="G342" s="460">
        <v>1023.84</v>
      </c>
      <c r="H342" s="472"/>
      <c r="I342" s="472">
        <f t="shared" ref="I342:I346" si="311">G342+H342</f>
        <v>1023.84</v>
      </c>
      <c r="J342" s="473">
        <f t="shared" ref="J342:J346" si="312">I342/C342</f>
        <v>1</v>
      </c>
      <c r="K342" s="474">
        <f t="shared" ref="K342:K346" si="313">G342*E342</f>
        <v>202720.32</v>
      </c>
      <c r="L342" s="474">
        <f t="shared" ref="L342:L346" si="314">H342*E342</f>
        <v>0</v>
      </c>
      <c r="M342" s="474">
        <f t="shared" ref="M342:M346" si="315">K342+L342</f>
        <v>202720.32</v>
      </c>
      <c r="N342" s="475"/>
    </row>
    <row r="343" spans="1:14">
      <c r="A343" s="467">
        <v>2.02</v>
      </c>
      <c r="B343" s="556" t="s">
        <v>369</v>
      </c>
      <c r="C343" s="490">
        <v>94.800000000000011</v>
      </c>
      <c r="D343" s="478" t="s">
        <v>38</v>
      </c>
      <c r="E343" s="467">
        <v>940.5</v>
      </c>
      <c r="F343" s="471">
        <v>89159.4</v>
      </c>
      <c r="G343" s="460">
        <v>94.800000000000011</v>
      </c>
      <c r="H343" s="472"/>
      <c r="I343" s="472">
        <f t="shared" si="311"/>
        <v>94.800000000000011</v>
      </c>
      <c r="J343" s="473">
        <f t="shared" si="312"/>
        <v>1</v>
      </c>
      <c r="K343" s="474">
        <f t="shared" si="313"/>
        <v>89159.400000000009</v>
      </c>
      <c r="L343" s="474">
        <f t="shared" si="314"/>
        <v>0</v>
      </c>
      <c r="M343" s="474">
        <f t="shared" si="315"/>
        <v>89159.400000000009</v>
      </c>
      <c r="N343" s="466"/>
    </row>
    <row r="344" spans="1:14">
      <c r="A344" s="467">
        <v>2.0299999999999998</v>
      </c>
      <c r="B344" s="556" t="s">
        <v>370</v>
      </c>
      <c r="C344" s="490">
        <v>614.30399999999997</v>
      </c>
      <c r="D344" s="478" t="s">
        <v>38</v>
      </c>
      <c r="E344" s="467">
        <v>539.54999999999995</v>
      </c>
      <c r="F344" s="471">
        <v>331447.71999999997</v>
      </c>
      <c r="G344" s="460">
        <v>614.30399999999997</v>
      </c>
      <c r="H344" s="472"/>
      <c r="I344" s="472">
        <f t="shared" si="311"/>
        <v>614.30399999999997</v>
      </c>
      <c r="J344" s="473">
        <f t="shared" si="312"/>
        <v>1</v>
      </c>
      <c r="K344" s="474">
        <f t="shared" si="313"/>
        <v>331447.72319999995</v>
      </c>
      <c r="L344" s="474">
        <f t="shared" si="314"/>
        <v>0</v>
      </c>
      <c r="M344" s="474">
        <f t="shared" si="315"/>
        <v>331447.72319999995</v>
      </c>
      <c r="N344" s="466"/>
    </row>
    <row r="345" spans="1:14">
      <c r="A345" s="467">
        <v>2.04</v>
      </c>
      <c r="B345" s="556" t="s">
        <v>253</v>
      </c>
      <c r="C345" s="490">
        <v>511.92000000000007</v>
      </c>
      <c r="D345" s="478" t="s">
        <v>38</v>
      </c>
      <c r="E345" s="467">
        <v>247.5</v>
      </c>
      <c r="F345" s="471">
        <v>126700.2</v>
      </c>
      <c r="G345" s="460">
        <v>511.92000000000007</v>
      </c>
      <c r="H345" s="472"/>
      <c r="I345" s="472">
        <f t="shared" si="311"/>
        <v>511.92000000000007</v>
      </c>
      <c r="J345" s="473">
        <f t="shared" si="312"/>
        <v>1</v>
      </c>
      <c r="K345" s="474">
        <f t="shared" si="313"/>
        <v>126700.20000000001</v>
      </c>
      <c r="L345" s="474">
        <f t="shared" si="314"/>
        <v>0</v>
      </c>
      <c r="M345" s="474">
        <f t="shared" si="315"/>
        <v>126700.20000000001</v>
      </c>
      <c r="N345" s="466"/>
    </row>
    <row r="346" spans="1:14" ht="24">
      <c r="A346" s="467">
        <v>2.0499999999999998</v>
      </c>
      <c r="B346" s="556" t="s">
        <v>371</v>
      </c>
      <c r="C346" s="490">
        <v>307.15199999999999</v>
      </c>
      <c r="D346" s="478" t="s">
        <v>38</v>
      </c>
      <c r="E346" s="467">
        <v>762.3</v>
      </c>
      <c r="F346" s="471">
        <v>234141.97</v>
      </c>
      <c r="G346" s="460">
        <v>307.15199999999999</v>
      </c>
      <c r="H346" s="472"/>
      <c r="I346" s="472">
        <f t="shared" si="311"/>
        <v>307.15199999999999</v>
      </c>
      <c r="J346" s="473">
        <f t="shared" si="312"/>
        <v>1</v>
      </c>
      <c r="K346" s="474">
        <f t="shared" si="313"/>
        <v>234141.96959999998</v>
      </c>
      <c r="L346" s="474">
        <f t="shared" si="314"/>
        <v>0</v>
      </c>
      <c r="M346" s="474">
        <f t="shared" si="315"/>
        <v>234141.96959999998</v>
      </c>
      <c r="N346" s="466"/>
    </row>
    <row r="347" spans="1:14" s="493" customFormat="1" ht="12.75">
      <c r="A347" s="476">
        <v>3</v>
      </c>
      <c r="B347" s="485" t="s">
        <v>372</v>
      </c>
      <c r="C347" s="507"/>
      <c r="D347" s="497"/>
      <c r="E347" s="498"/>
      <c r="F347" s="552"/>
      <c r="G347" s="482"/>
      <c r="H347" s="482"/>
      <c r="I347" s="527"/>
      <c r="J347" s="551"/>
      <c r="K347" s="503"/>
      <c r="L347" s="503"/>
      <c r="M347" s="503"/>
      <c r="N347" s="492"/>
    </row>
    <row r="348" spans="1:14">
      <c r="A348" s="467">
        <v>3.01</v>
      </c>
      <c r="B348" s="68" t="s">
        <v>543</v>
      </c>
      <c r="C348" s="469">
        <v>1659</v>
      </c>
      <c r="D348" s="479" t="s">
        <v>264</v>
      </c>
      <c r="E348" s="488">
        <v>809.30424071835603</v>
      </c>
      <c r="F348" s="505">
        <v>1342635.74</v>
      </c>
      <c r="G348" s="460">
        <v>1465</v>
      </c>
      <c r="H348" s="472"/>
      <c r="I348" s="472">
        <f t="shared" ref="I348:I349" si="316">G348+H348</f>
        <v>1465</v>
      </c>
      <c r="J348" s="473">
        <f t="shared" ref="J348:J349" si="317">I348/C348</f>
        <v>0.88306208559373112</v>
      </c>
      <c r="K348" s="474">
        <f t="shared" ref="K348:K349" si="318">G348*E348</f>
        <v>1185630.7126523915</v>
      </c>
      <c r="L348" s="474">
        <f t="shared" ref="L348:L349" si="319">H348*E348</f>
        <v>0</v>
      </c>
      <c r="M348" s="474">
        <f t="shared" ref="M348:M349" si="320">K348+L348</f>
        <v>1185630.7126523915</v>
      </c>
      <c r="N348" s="466"/>
    </row>
    <row r="349" spans="1:14">
      <c r="A349" s="467">
        <v>3.02</v>
      </c>
      <c r="B349" s="68" t="s">
        <v>551</v>
      </c>
      <c r="C349" s="469">
        <v>450</v>
      </c>
      <c r="D349" s="479" t="s">
        <v>264</v>
      </c>
      <c r="E349" s="488">
        <v>205.86999999999998</v>
      </c>
      <c r="F349" s="505">
        <v>92641.5</v>
      </c>
      <c r="G349" s="460">
        <v>0</v>
      </c>
      <c r="H349" s="472"/>
      <c r="I349" s="472">
        <f t="shared" si="316"/>
        <v>0</v>
      </c>
      <c r="J349" s="473">
        <f t="shared" si="317"/>
        <v>0</v>
      </c>
      <c r="K349" s="474">
        <f t="shared" si="318"/>
        <v>0</v>
      </c>
      <c r="L349" s="474">
        <f t="shared" si="319"/>
        <v>0</v>
      </c>
      <c r="M349" s="474">
        <f t="shared" si="320"/>
        <v>0</v>
      </c>
      <c r="N349" s="466"/>
    </row>
    <row r="350" spans="1:14" s="493" customFormat="1" ht="12.75">
      <c r="A350" s="476">
        <v>4</v>
      </c>
      <c r="B350" s="485" t="s">
        <v>374</v>
      </c>
      <c r="C350" s="496"/>
      <c r="D350" s="497"/>
      <c r="E350" s="498"/>
      <c r="F350" s="552"/>
      <c r="G350" s="527"/>
      <c r="H350" s="482"/>
      <c r="I350" s="527"/>
      <c r="J350" s="551"/>
      <c r="K350" s="503"/>
      <c r="L350" s="503"/>
      <c r="M350" s="503"/>
      <c r="N350" s="492"/>
    </row>
    <row r="351" spans="1:14" s="493" customFormat="1" ht="12.75">
      <c r="A351" s="467">
        <v>4.01</v>
      </c>
      <c r="B351" s="68" t="s">
        <v>544</v>
      </c>
      <c r="C351" s="469">
        <v>1580</v>
      </c>
      <c r="D351" s="479" t="s">
        <v>30</v>
      </c>
      <c r="E351" s="488">
        <v>60</v>
      </c>
      <c r="F351" s="505">
        <v>94800</v>
      </c>
      <c r="G351" s="460">
        <v>1465</v>
      </c>
      <c r="H351" s="472"/>
      <c r="I351" s="472">
        <f t="shared" ref="I351" si="321">G351+H351</f>
        <v>1465</v>
      </c>
      <c r="J351" s="473">
        <f t="shared" ref="J351" si="322">I351/C351</f>
        <v>0.92721518987341767</v>
      </c>
      <c r="K351" s="474">
        <f t="shared" ref="K351" si="323">G351*E351</f>
        <v>87900</v>
      </c>
      <c r="L351" s="474">
        <f t="shared" ref="L351" si="324">H351*E351</f>
        <v>0</v>
      </c>
      <c r="M351" s="474">
        <f t="shared" ref="M351" si="325">K351+L351</f>
        <v>87900</v>
      </c>
      <c r="N351" s="492"/>
    </row>
    <row r="352" spans="1:14" s="493" customFormat="1" ht="12.75">
      <c r="A352" s="495">
        <v>5</v>
      </c>
      <c r="B352" s="485" t="s">
        <v>483</v>
      </c>
      <c r="C352" s="507"/>
      <c r="D352" s="497"/>
      <c r="E352" s="498"/>
      <c r="F352" s="552"/>
      <c r="G352" s="482"/>
      <c r="H352" s="482"/>
      <c r="I352" s="527"/>
      <c r="J352" s="482"/>
      <c r="K352" s="528"/>
      <c r="L352" s="529"/>
      <c r="M352" s="529"/>
      <c r="N352" s="492"/>
    </row>
    <row r="353" spans="1:14" s="446" customFormat="1" ht="12.75">
      <c r="A353" s="467">
        <v>5.01</v>
      </c>
      <c r="B353" s="508" t="s">
        <v>545</v>
      </c>
      <c r="C353" s="469">
        <v>30</v>
      </c>
      <c r="D353" s="479" t="s">
        <v>30</v>
      </c>
      <c r="E353" s="488">
        <v>5527.9698019801981</v>
      </c>
      <c r="F353" s="505">
        <v>165839.09405940594</v>
      </c>
      <c r="G353" s="460">
        <v>30.3</v>
      </c>
      <c r="H353" s="472">
        <v>-0.3</v>
      </c>
      <c r="I353" s="472">
        <f t="shared" ref="I353:I354" si="326">G353+H353</f>
        <v>30</v>
      </c>
      <c r="J353" s="473">
        <f t="shared" ref="J353:J354" si="327">I353/C353</f>
        <v>1</v>
      </c>
      <c r="K353" s="474">
        <f t="shared" ref="K353:K354" si="328">G353*E353</f>
        <v>167497.48500000002</v>
      </c>
      <c r="L353" s="474">
        <f t="shared" ref="L353:L354" si="329">H353*E353</f>
        <v>-1658.3909405940594</v>
      </c>
      <c r="M353" s="474">
        <f t="shared" ref="M353:M354" si="330">K353+L353</f>
        <v>165839.09405940596</v>
      </c>
      <c r="N353" s="475"/>
    </row>
    <row r="354" spans="1:14" s="446" customFormat="1" ht="12.75">
      <c r="A354" s="467">
        <v>5.0199999999999996</v>
      </c>
      <c r="B354" s="508" t="s">
        <v>485</v>
      </c>
      <c r="C354" s="469">
        <v>5</v>
      </c>
      <c r="D354" s="479" t="s">
        <v>50</v>
      </c>
      <c r="E354" s="488">
        <v>6509.6</v>
      </c>
      <c r="F354" s="505">
        <v>32548</v>
      </c>
      <c r="G354" s="460">
        <v>5</v>
      </c>
      <c r="H354" s="472"/>
      <c r="I354" s="472">
        <f t="shared" si="326"/>
        <v>5</v>
      </c>
      <c r="J354" s="473">
        <f t="shared" si="327"/>
        <v>1</v>
      </c>
      <c r="K354" s="474">
        <f t="shared" si="328"/>
        <v>32548</v>
      </c>
      <c r="L354" s="474">
        <f t="shared" si="329"/>
        <v>0</v>
      </c>
      <c r="M354" s="474">
        <f t="shared" si="330"/>
        <v>32548</v>
      </c>
      <c r="N354" s="475"/>
    </row>
    <row r="355" spans="1:14">
      <c r="A355" s="476">
        <v>6</v>
      </c>
      <c r="B355" s="506" t="s">
        <v>539</v>
      </c>
      <c r="C355" s="496"/>
      <c r="D355" s="497"/>
      <c r="E355" s="498"/>
      <c r="F355" s="552"/>
      <c r="G355" s="463"/>
      <c r="H355" s="463"/>
      <c r="I355" s="521"/>
      <c r="J355" s="487"/>
      <c r="K355" s="464"/>
      <c r="L355" s="464"/>
      <c r="M355" s="464"/>
      <c r="N355" s="466"/>
    </row>
    <row r="356" spans="1:14" s="446" customFormat="1" ht="12.75">
      <c r="A356" s="467">
        <v>6.01</v>
      </c>
      <c r="B356" s="508" t="s">
        <v>377</v>
      </c>
      <c r="C356" s="469">
        <v>94</v>
      </c>
      <c r="D356" s="479" t="s">
        <v>50</v>
      </c>
      <c r="E356" s="488">
        <v>3819.7368000000001</v>
      </c>
      <c r="F356" s="505">
        <v>359055.26</v>
      </c>
      <c r="G356" s="460">
        <v>94</v>
      </c>
      <c r="H356" s="472"/>
      <c r="I356" s="472">
        <f t="shared" ref="I356" si="331">G356+H356</f>
        <v>94</v>
      </c>
      <c r="J356" s="473">
        <f t="shared" ref="J356" si="332">I356/C356</f>
        <v>1</v>
      </c>
      <c r="K356" s="474">
        <f t="shared" ref="K356" si="333">G356*E356</f>
        <v>359055.25920000003</v>
      </c>
      <c r="L356" s="474">
        <f t="shared" ref="L356" si="334">H356*E356</f>
        <v>0</v>
      </c>
      <c r="M356" s="474">
        <f t="shared" ref="M356" si="335">K356+L356</f>
        <v>359055.25920000003</v>
      </c>
      <c r="N356" s="475"/>
    </row>
    <row r="357" spans="1:14" s="493" customFormat="1" ht="12.75">
      <c r="A357" s="476">
        <v>7</v>
      </c>
      <c r="B357" s="506" t="s">
        <v>383</v>
      </c>
      <c r="C357" s="496"/>
      <c r="D357" s="497"/>
      <c r="E357" s="498"/>
      <c r="F357" s="552"/>
      <c r="G357" s="482"/>
      <c r="H357" s="482"/>
      <c r="I357" s="527"/>
      <c r="J357" s="551"/>
      <c r="K357" s="503"/>
      <c r="L357" s="503"/>
      <c r="M357" s="503"/>
      <c r="N357" s="492"/>
    </row>
    <row r="358" spans="1:14" s="493" customFormat="1" ht="12.75">
      <c r="A358" s="467">
        <v>7.01</v>
      </c>
      <c r="B358" s="508" t="s">
        <v>552</v>
      </c>
      <c r="C358" s="469">
        <v>1</v>
      </c>
      <c r="D358" s="479" t="s">
        <v>50</v>
      </c>
      <c r="E358" s="488">
        <v>2416.7850000000003</v>
      </c>
      <c r="F358" s="505">
        <v>2416.79</v>
      </c>
      <c r="G358" s="460">
        <v>1</v>
      </c>
      <c r="H358" s="472"/>
      <c r="I358" s="472">
        <f t="shared" ref="I358" si="336">G358+H358</f>
        <v>1</v>
      </c>
      <c r="J358" s="473">
        <f t="shared" ref="J358" si="337">I358/C358</f>
        <v>1</v>
      </c>
      <c r="K358" s="474">
        <f t="shared" ref="K358" si="338">G358*E358</f>
        <v>2416.7850000000003</v>
      </c>
      <c r="L358" s="474">
        <f t="shared" ref="L358" si="339">H358*E358</f>
        <v>0</v>
      </c>
      <c r="M358" s="474">
        <f t="shared" ref="M358" si="340">K358+L358</f>
        <v>2416.7850000000003</v>
      </c>
      <c r="N358" s="492"/>
    </row>
    <row r="359" spans="1:14" s="493" customFormat="1" ht="12.75">
      <c r="A359" s="476"/>
      <c r="B359" s="477" t="s">
        <v>44</v>
      </c>
      <c r="C359" s="507"/>
      <c r="D359" s="497"/>
      <c r="E359" s="498"/>
      <c r="F359" s="552">
        <f>SUM(F340:F358)</f>
        <v>3168905.9940594053</v>
      </c>
      <c r="G359" s="482"/>
      <c r="H359" s="482"/>
      <c r="I359" s="527"/>
      <c r="J359" s="482"/>
      <c r="K359" s="547">
        <f>SUM(K340:K358)</f>
        <v>2914017.8546523917</v>
      </c>
      <c r="L359" s="548">
        <f>SUM(L340:L358)</f>
        <v>-1658.3909405940594</v>
      </c>
      <c r="M359" s="548">
        <f>SUM(M340:M358)</f>
        <v>2912359.4637117977</v>
      </c>
      <c r="N359" s="492"/>
    </row>
    <row r="360" spans="1:14">
      <c r="A360" s="476"/>
      <c r="B360" s="506"/>
      <c r="C360" s="478"/>
      <c r="D360" s="479"/>
      <c r="E360" s="480"/>
      <c r="F360" s="505"/>
      <c r="G360" s="463"/>
      <c r="H360" s="463"/>
      <c r="I360" s="521"/>
      <c r="J360" s="463"/>
      <c r="K360" s="522"/>
      <c r="L360" s="465"/>
      <c r="M360" s="465"/>
      <c r="N360" s="560"/>
    </row>
    <row r="361" spans="1:14">
      <c r="A361" s="476"/>
      <c r="B361" s="477" t="s">
        <v>553</v>
      </c>
      <c r="C361" s="507"/>
      <c r="D361" s="497"/>
      <c r="E361" s="498"/>
      <c r="F361" s="561">
        <f>F359+F337+F312+F273+F225+F192+F165+F100+F62+F29+F15+F47</f>
        <v>88922615.222288787</v>
      </c>
      <c r="G361" s="482"/>
      <c r="H361" s="482"/>
      <c r="I361" s="527"/>
      <c r="J361" s="482"/>
      <c r="K361" s="547">
        <f>K359+K337+K312+K273+K225+K47+K15+K192+K165+K100+K29</f>
        <v>60345369.222954161</v>
      </c>
      <c r="L361" s="548">
        <f>L359+L337+L312+L273+L225+L100+L47+L29+L15+L192+L165+L133</f>
        <v>10952253.127857707</v>
      </c>
      <c r="M361" s="548">
        <f>M359+M337+M312+M273+M225+M192+M165+M100+M47+M29+M15</f>
        <v>71297622.350811869</v>
      </c>
      <c r="N361" s="560"/>
    </row>
    <row r="362" spans="1:14">
      <c r="A362" s="416"/>
      <c r="B362" s="416"/>
      <c r="C362" s="416"/>
      <c r="D362" s="416"/>
      <c r="E362" s="416"/>
      <c r="F362" s="416"/>
      <c r="G362" s="416"/>
      <c r="H362" s="416"/>
      <c r="I362" s="416"/>
      <c r="J362" s="416"/>
      <c r="K362" s="416"/>
      <c r="L362" s="416"/>
      <c r="M362" s="416"/>
      <c r="N362" s="560"/>
    </row>
    <row r="363" spans="1:14">
      <c r="A363" s="416"/>
      <c r="B363" s="416"/>
      <c r="C363" s="416"/>
      <c r="D363" s="416" t="s">
        <v>124</v>
      </c>
      <c r="E363" s="416"/>
      <c r="F363" s="416"/>
      <c r="G363" s="416"/>
      <c r="H363" s="416"/>
      <c r="I363" s="416"/>
      <c r="J363" s="416"/>
      <c r="K363" s="416"/>
      <c r="L363" s="416"/>
      <c r="M363" s="416"/>
      <c r="N363" s="562"/>
    </row>
    <row r="364" spans="1:14">
      <c r="A364" s="416"/>
      <c r="B364" s="416"/>
      <c r="C364" s="416"/>
      <c r="D364" s="416"/>
      <c r="E364" s="416"/>
      <c r="F364" s="416"/>
      <c r="G364" s="416"/>
      <c r="H364" s="416"/>
      <c r="I364" s="416"/>
      <c r="J364" s="416"/>
      <c r="K364" s="416"/>
      <c r="L364" s="416"/>
      <c r="M364" s="416"/>
      <c r="N364" s="562"/>
    </row>
    <row r="365" spans="1:14">
      <c r="A365" s="562"/>
      <c r="B365" s="563"/>
      <c r="C365" s="564"/>
      <c r="D365" s="564"/>
      <c r="E365" s="564"/>
      <c r="F365" s="564"/>
      <c r="G365" s="564"/>
      <c r="H365" s="564"/>
      <c r="I365" s="564"/>
      <c r="J365" s="564"/>
      <c r="K365" s="565"/>
      <c r="L365" s="565"/>
      <c r="M365" s="565"/>
      <c r="N365" s="562"/>
    </row>
    <row r="366" spans="1:14">
      <c r="A366" s="562"/>
      <c r="B366" s="563"/>
      <c r="C366" s="564"/>
      <c r="D366" s="564"/>
      <c r="E366" s="564"/>
      <c r="F366" s="564"/>
      <c r="G366" s="564"/>
      <c r="H366" s="564"/>
      <c r="I366" s="564"/>
      <c r="J366" s="564"/>
      <c r="K366" s="565"/>
      <c r="L366" s="565"/>
      <c r="M366" s="565"/>
      <c r="N366" s="562"/>
    </row>
    <row r="367" spans="1:14">
      <c r="A367" s="562"/>
      <c r="B367" s="563"/>
      <c r="C367" s="564"/>
      <c r="D367" s="564"/>
      <c r="E367" s="564"/>
      <c r="F367" s="564"/>
      <c r="G367" s="564"/>
      <c r="H367" s="564"/>
      <c r="I367" s="564"/>
      <c r="J367" s="564"/>
      <c r="K367" s="565"/>
      <c r="L367" s="565"/>
      <c r="M367" s="565"/>
      <c r="N367" s="562"/>
    </row>
    <row r="368" spans="1:14">
      <c r="A368" s="562"/>
      <c r="B368" s="563"/>
      <c r="C368" s="564"/>
      <c r="D368" s="564"/>
      <c r="E368" s="564"/>
      <c r="F368" s="564"/>
      <c r="G368" s="564"/>
      <c r="H368" s="564"/>
      <c r="I368" s="564"/>
      <c r="J368" s="564"/>
      <c r="K368" s="565"/>
      <c r="L368" s="565"/>
      <c r="M368" s="565"/>
      <c r="N368" s="562"/>
    </row>
    <row r="369" spans="1:14" ht="12.95" customHeight="1">
      <c r="A369" s="562"/>
      <c r="B369" s="563"/>
      <c r="C369" s="564"/>
      <c r="D369" s="564"/>
      <c r="E369" s="564"/>
      <c r="F369" s="564"/>
      <c r="G369" s="564"/>
      <c r="H369" s="564"/>
      <c r="I369" s="564"/>
      <c r="J369" s="564"/>
      <c r="K369" s="565"/>
      <c r="L369" s="565"/>
      <c r="M369" s="565"/>
      <c r="N369" s="564"/>
    </row>
    <row r="370" spans="1:14">
      <c r="A370" s="562"/>
      <c r="B370" s="563"/>
      <c r="C370" s="564"/>
      <c r="D370" s="564"/>
      <c r="E370" s="564"/>
      <c r="F370" s="564"/>
      <c r="G370" s="564"/>
      <c r="H370" s="564"/>
      <c r="I370" s="564"/>
      <c r="J370" s="564"/>
      <c r="K370" s="565"/>
      <c r="L370" s="565"/>
      <c r="M370" s="565"/>
      <c r="N370" s="564"/>
    </row>
    <row r="371" spans="1:14" ht="27.95" customHeight="1">
      <c r="A371" s="416"/>
      <c r="B371" s="1069" t="s">
        <v>0</v>
      </c>
      <c r="C371" s="1069"/>
      <c r="D371" s="1069"/>
      <c r="E371" s="1069"/>
      <c r="F371" s="1069"/>
      <c r="G371" s="1069"/>
      <c r="H371" s="1069"/>
      <c r="I371" s="1069"/>
      <c r="J371" s="1069"/>
      <c r="K371" s="1069"/>
      <c r="L371" s="1069"/>
      <c r="M371" s="1069"/>
      <c r="N371" s="564"/>
    </row>
    <row r="372" spans="1:14" ht="22.5" customHeight="1">
      <c r="A372" s="416"/>
      <c r="B372" s="416"/>
      <c r="C372" s="566"/>
      <c r="D372" s="566"/>
      <c r="E372" s="566"/>
      <c r="F372" s="566" t="s">
        <v>1</v>
      </c>
      <c r="G372" s="566"/>
      <c r="H372" s="566"/>
      <c r="I372" s="566"/>
      <c r="J372" s="566"/>
      <c r="K372" s="566"/>
      <c r="L372" s="566"/>
      <c r="M372" s="566"/>
      <c r="N372" s="567"/>
    </row>
    <row r="373" spans="1:14">
      <c r="A373" s="416"/>
      <c r="B373" s="566"/>
      <c r="C373" s="566"/>
      <c r="D373" s="566"/>
      <c r="E373" s="566"/>
      <c r="F373" s="416"/>
      <c r="G373" s="566"/>
      <c r="H373" s="566"/>
      <c r="I373" s="566"/>
      <c r="J373" s="566"/>
      <c r="K373" s="566"/>
      <c r="L373" s="566"/>
      <c r="M373" s="568" t="s">
        <v>554</v>
      </c>
      <c r="N373" s="567"/>
    </row>
    <row r="374" spans="1:14" ht="23.1" customHeight="1">
      <c r="A374" s="416"/>
      <c r="B374" s="564"/>
      <c r="C374" s="569" t="s">
        <v>164</v>
      </c>
      <c r="D374" s="1033" t="s">
        <v>340</v>
      </c>
      <c r="E374" s="1033"/>
      <c r="F374" s="1033"/>
      <c r="G374" s="1033"/>
      <c r="H374" s="570"/>
      <c r="I374" s="564"/>
      <c r="J374" s="564"/>
      <c r="K374" s="1064" t="s">
        <v>4</v>
      </c>
      <c r="L374" s="1064"/>
      <c r="M374" s="444">
        <v>110999733.32652724</v>
      </c>
      <c r="N374" s="567"/>
    </row>
    <row r="375" spans="1:14" ht="15" customHeight="1">
      <c r="A375" s="416"/>
      <c r="B375" s="564"/>
      <c r="C375" s="443" t="s">
        <v>5</v>
      </c>
      <c r="D375" s="5">
        <v>5</v>
      </c>
      <c r="E375" s="564"/>
      <c r="F375" s="563"/>
      <c r="G375" s="563"/>
      <c r="H375" s="563"/>
      <c r="I375" s="564"/>
      <c r="J375" s="564"/>
      <c r="K375" s="564"/>
      <c r="L375" s="443" t="s">
        <v>6</v>
      </c>
      <c r="M375" s="571" t="s">
        <v>341</v>
      </c>
      <c r="N375" s="567">
        <v>17880561.059999999</v>
      </c>
    </row>
    <row r="376" spans="1:14" ht="24" customHeight="1">
      <c r="A376" s="416"/>
      <c r="B376" s="1064" t="s">
        <v>7</v>
      </c>
      <c r="C376" s="1064"/>
      <c r="D376" s="1070" t="s">
        <v>555</v>
      </c>
      <c r="E376" s="1070"/>
      <c r="F376" s="563"/>
      <c r="G376" s="563"/>
      <c r="H376" s="572"/>
      <c r="I376" s="564"/>
      <c r="J376" s="564"/>
      <c r="K376" s="564"/>
      <c r="L376" s="443" t="s">
        <v>9</v>
      </c>
      <c r="M376" s="573" t="s">
        <v>343</v>
      </c>
      <c r="N376" s="574"/>
    </row>
    <row r="377" spans="1:14">
      <c r="A377" s="416"/>
      <c r="B377" s="564"/>
      <c r="C377" s="443" t="s">
        <v>11</v>
      </c>
      <c r="D377" s="1006" t="s">
        <v>344</v>
      </c>
      <c r="E377" s="1006"/>
      <c r="F377" s="563"/>
      <c r="G377" s="563"/>
      <c r="H377" s="563"/>
      <c r="I377" s="564"/>
      <c r="J377" s="564"/>
      <c r="K377" s="564"/>
      <c r="L377" s="564"/>
      <c r="M377" s="564"/>
      <c r="N377" s="575"/>
    </row>
    <row r="378" spans="1:14">
      <c r="A378" s="416"/>
      <c r="B378" s="416"/>
      <c r="C378" s="443"/>
      <c r="D378" s="563"/>
      <c r="E378" s="563"/>
      <c r="F378" s="563"/>
      <c r="G378" s="563"/>
      <c r="H378" s="416"/>
      <c r="I378" s="416"/>
      <c r="J378" s="416"/>
      <c r="K378" s="564"/>
      <c r="L378" s="564"/>
      <c r="M378" s="564"/>
      <c r="N378" s="574"/>
    </row>
    <row r="379" spans="1:14">
      <c r="A379" s="416"/>
      <c r="B379" s="564"/>
      <c r="C379" s="443"/>
      <c r="D379" s="563"/>
      <c r="E379" s="563"/>
      <c r="F379" s="151" t="s">
        <v>94</v>
      </c>
      <c r="G379" s="563"/>
      <c r="H379" s="1065" t="s">
        <v>22</v>
      </c>
      <c r="I379" s="1065"/>
      <c r="J379" s="1065" t="s">
        <v>23</v>
      </c>
      <c r="K379" s="1065"/>
      <c r="L379" s="1065" t="s">
        <v>24</v>
      </c>
      <c r="M379" s="1065"/>
      <c r="N379" s="564"/>
    </row>
    <row r="380" spans="1:14">
      <c r="A380" s="416"/>
      <c r="B380" s="1065" t="s">
        <v>93</v>
      </c>
      <c r="C380" s="1065"/>
      <c r="D380" s="1065"/>
      <c r="E380" s="1065"/>
      <c r="F380" s="576">
        <f>F361</f>
        <v>88922615.222288787</v>
      </c>
      <c r="G380" s="577"/>
      <c r="H380" s="1066">
        <f>K361</f>
        <v>60345369.222954161</v>
      </c>
      <c r="I380" s="1066"/>
      <c r="J380" s="1067">
        <f>L361</f>
        <v>10952253.127857707</v>
      </c>
      <c r="K380" s="1067"/>
      <c r="L380" s="1068">
        <f>M361</f>
        <v>71297622.350811869</v>
      </c>
      <c r="M380" s="1068"/>
      <c r="N380" s="578"/>
    </row>
    <row r="381" spans="1:14">
      <c r="A381" s="416"/>
      <c r="B381" s="564"/>
      <c r="C381" s="5" t="s">
        <v>95</v>
      </c>
      <c r="D381" s="563"/>
      <c r="E381" s="563"/>
      <c r="F381" s="563"/>
      <c r="G381" s="563"/>
      <c r="H381" s="563"/>
      <c r="I381" s="564"/>
      <c r="J381" s="564"/>
      <c r="K381" s="416"/>
      <c r="L381" s="564"/>
      <c r="M381" s="416"/>
      <c r="N381" s="579"/>
    </row>
    <row r="382" spans="1:14">
      <c r="A382" s="416"/>
      <c r="B382" s="1064" t="s">
        <v>96</v>
      </c>
      <c r="C382" s="1064"/>
      <c r="D382" s="1064"/>
      <c r="E382" s="563"/>
      <c r="F382" s="563"/>
      <c r="G382" s="563"/>
      <c r="H382" s="563"/>
      <c r="I382" s="564"/>
      <c r="J382" s="564"/>
      <c r="K382" s="416"/>
      <c r="L382" s="1067">
        <f>E383*L380</f>
        <v>2495416.7822784157</v>
      </c>
      <c r="M382" s="1067"/>
      <c r="N382" s="578"/>
    </row>
    <row r="383" spans="1:14">
      <c r="A383" s="416"/>
      <c r="B383" s="1064" t="s">
        <v>98</v>
      </c>
      <c r="C383" s="1064"/>
      <c r="D383" s="1064"/>
      <c r="E383" s="580">
        <v>3.5000000000000003E-2</v>
      </c>
      <c r="F383" s="567">
        <f>E383*F380</f>
        <v>3112291.532780108</v>
      </c>
      <c r="G383" s="567"/>
      <c r="H383" s="1071">
        <f>H380*E383</f>
        <v>2112087.9228033959</v>
      </c>
      <c r="I383" s="1071"/>
      <c r="J383" s="1067">
        <f>E383*J380</f>
        <v>383328.8594750198</v>
      </c>
      <c r="K383" s="1067"/>
      <c r="L383" s="1067"/>
      <c r="M383" s="1067"/>
      <c r="N383" s="581"/>
    </row>
    <row r="384" spans="1:14">
      <c r="A384" s="416"/>
      <c r="B384" s="1064" t="s">
        <v>97</v>
      </c>
      <c r="C384" s="1064"/>
      <c r="D384" s="1064"/>
      <c r="E384" s="582">
        <v>0.1</v>
      </c>
      <c r="F384" s="567">
        <f>E384*F380</f>
        <v>8892261.5222288799</v>
      </c>
      <c r="G384" s="567"/>
      <c r="H384" s="1071">
        <f>H380*E384</f>
        <v>6034536.9222954167</v>
      </c>
      <c r="I384" s="1071"/>
      <c r="J384" s="1067">
        <f>E384*J380</f>
        <v>1095225.3127857707</v>
      </c>
      <c r="K384" s="1067"/>
      <c r="L384" s="1067">
        <f>E384*L380</f>
        <v>7129762.2350811874</v>
      </c>
      <c r="M384" s="1067"/>
      <c r="N384" s="583"/>
    </row>
    <row r="385" spans="1:15">
      <c r="A385" s="416"/>
      <c r="B385" s="1064" t="s">
        <v>103</v>
      </c>
      <c r="C385" s="1064"/>
      <c r="D385" s="1064"/>
      <c r="E385" s="582">
        <v>0.18</v>
      </c>
      <c r="F385" s="567">
        <f>E385*F384</f>
        <v>1600607.0740011984</v>
      </c>
      <c r="G385" s="567"/>
      <c r="H385" s="1071">
        <f>H384*E385</f>
        <v>1086216.6460131749</v>
      </c>
      <c r="I385" s="1071"/>
      <c r="J385" s="1067">
        <f>E385*J384</f>
        <v>197140.55630143872</v>
      </c>
      <c r="K385" s="1067"/>
      <c r="L385" s="1067">
        <f>E385*L384</f>
        <v>1283357.2023146136</v>
      </c>
      <c r="M385" s="1067"/>
      <c r="N385" s="583"/>
    </row>
    <row r="386" spans="1:15">
      <c r="A386" s="416"/>
      <c r="B386" s="1064" t="s">
        <v>100</v>
      </c>
      <c r="C386" s="1064"/>
      <c r="D386" s="1064"/>
      <c r="E386" s="582">
        <v>0.03</v>
      </c>
      <c r="F386" s="567">
        <f>E386*F380</f>
        <v>2667678.4566686633</v>
      </c>
      <c r="G386" s="567"/>
      <c r="H386" s="1071">
        <f>H380*E386</f>
        <v>1810361.0766886247</v>
      </c>
      <c r="I386" s="1071"/>
      <c r="J386" s="1067">
        <f>E386*J380</f>
        <v>328567.59383573121</v>
      </c>
      <c r="K386" s="1067"/>
      <c r="L386" s="1067">
        <f>E386*L380</f>
        <v>2138928.670524356</v>
      </c>
      <c r="M386" s="1067"/>
      <c r="N386" s="583"/>
    </row>
    <row r="387" spans="1:15">
      <c r="A387" s="416"/>
      <c r="B387" s="1064" t="s">
        <v>168</v>
      </c>
      <c r="C387" s="1064"/>
      <c r="D387" s="1064"/>
      <c r="E387" s="584">
        <v>0.02</v>
      </c>
      <c r="F387" s="567">
        <f>E387*F380</f>
        <v>1778452.3044457757</v>
      </c>
      <c r="G387" s="567"/>
      <c r="H387" s="1071">
        <f>H380*E387</f>
        <v>1206907.3844590832</v>
      </c>
      <c r="I387" s="1071"/>
      <c r="J387" s="1068">
        <f>E387*J380</f>
        <v>219045.06255715416</v>
      </c>
      <c r="K387" s="1068"/>
      <c r="L387" s="1067">
        <f>E387*L380</f>
        <v>1425952.4470162373</v>
      </c>
      <c r="M387" s="1067"/>
      <c r="N387" s="585"/>
    </row>
    <row r="388" spans="1:15">
      <c r="A388" s="416"/>
      <c r="B388" s="1064" t="s">
        <v>101</v>
      </c>
      <c r="C388" s="1064"/>
      <c r="D388" s="1064"/>
      <c r="E388" s="582">
        <v>0.01</v>
      </c>
      <c r="F388" s="567">
        <f>E388*F380</f>
        <v>889226.15222288785</v>
      </c>
      <c r="G388" s="567"/>
      <c r="H388" s="1071">
        <f>H380*E388</f>
        <v>603453.6922295416</v>
      </c>
      <c r="I388" s="1071"/>
      <c r="J388" s="1068">
        <f>E388*J380</f>
        <v>109522.53127857708</v>
      </c>
      <c r="K388" s="1068"/>
      <c r="L388" s="1067">
        <f>E388*L380</f>
        <v>712976.22350811865</v>
      </c>
      <c r="M388" s="1067"/>
      <c r="N388" s="151"/>
    </row>
    <row r="389" spans="1:15">
      <c r="A389" s="416"/>
      <c r="B389" s="1064" t="s">
        <v>102</v>
      </c>
      <c r="C389" s="1064"/>
      <c r="D389" s="1064"/>
      <c r="E389" s="586">
        <v>1E-3</v>
      </c>
      <c r="F389" s="587">
        <f>E389*F380</f>
        <v>88922.61522228879</v>
      </c>
      <c r="G389" s="587"/>
      <c r="H389" s="1072">
        <f>H380*E389</f>
        <v>60345.369222954163</v>
      </c>
      <c r="I389" s="1072"/>
      <c r="J389" s="1073">
        <f>E389*J380</f>
        <v>10952.253127857708</v>
      </c>
      <c r="K389" s="1073"/>
      <c r="L389" s="1074">
        <f>E389*L380</f>
        <v>71297.622350811871</v>
      </c>
      <c r="M389" s="1074"/>
      <c r="N389" s="151"/>
    </row>
    <row r="390" spans="1:15">
      <c r="A390" s="416"/>
      <c r="B390" s="1075" t="s">
        <v>556</v>
      </c>
      <c r="C390" s="1075"/>
      <c r="D390" s="1075"/>
      <c r="E390" s="588">
        <f>E389+E388+E387+E386+E384+E383+1.8%</f>
        <v>0.21400000000000002</v>
      </c>
      <c r="F390" s="574">
        <f>F383+F384+F385+F386+F387+F388+F389</f>
        <v>19029439.657569803</v>
      </c>
      <c r="G390" s="574"/>
      <c r="H390" s="1076">
        <f>H389+H388+H387+H386+H385+H384+H383</f>
        <v>12913909.013712192</v>
      </c>
      <c r="I390" s="1076"/>
      <c r="J390" s="1077">
        <f>J383+J384+J385+J386+J387+J388+J389</f>
        <v>2343782.1693615494</v>
      </c>
      <c r="K390" s="1077"/>
      <c r="L390" s="1078">
        <f>L382+L384+L385+L386+L387+L388+L389</f>
        <v>15257691.18307374</v>
      </c>
      <c r="M390" s="1078"/>
      <c r="N390" s="568"/>
    </row>
    <row r="391" spans="1:15">
      <c r="A391" s="416"/>
      <c r="B391" s="591"/>
      <c r="C391" s="563"/>
      <c r="D391" s="582"/>
      <c r="E391" s="151"/>
      <c r="F391" s="592"/>
      <c r="G391" s="592"/>
      <c r="H391" s="591"/>
      <c r="I391" s="593"/>
      <c r="J391" s="594"/>
      <c r="K391" s="416"/>
      <c r="L391" s="595"/>
      <c r="M391" s="416"/>
      <c r="N391" s="568"/>
    </row>
    <row r="392" spans="1:15">
      <c r="A392" s="416"/>
      <c r="B392" s="1064" t="s">
        <v>557</v>
      </c>
      <c r="C392" s="1064"/>
      <c r="D392" s="1064"/>
      <c r="E392" s="596"/>
      <c r="F392" s="574">
        <f>F380+F390</f>
        <v>107952054.87985858</v>
      </c>
      <c r="G392" s="574"/>
      <c r="H392" s="1080">
        <f>H380+H390</f>
        <v>73259278.236666352</v>
      </c>
      <c r="I392" s="1080"/>
      <c r="J392" s="1081">
        <f>J380+J390</f>
        <v>13296035.297219258</v>
      </c>
      <c r="K392" s="1081"/>
      <c r="L392" s="1082">
        <f>L380+L390</f>
        <v>86555313.533885613</v>
      </c>
      <c r="M392" s="1082"/>
      <c r="N392" s="568"/>
    </row>
    <row r="393" spans="1:15">
      <c r="A393" s="416"/>
      <c r="B393" s="591"/>
      <c r="C393" s="5"/>
      <c r="D393" s="597"/>
      <c r="E393" s="596"/>
      <c r="F393" s="574"/>
      <c r="G393" s="574"/>
      <c r="H393" s="589"/>
      <c r="I393" s="416"/>
      <c r="J393" s="590"/>
      <c r="K393" s="416"/>
      <c r="L393" s="574"/>
      <c r="M393" s="416"/>
      <c r="N393" s="568"/>
    </row>
    <row r="394" spans="1:15" ht="12.95" customHeight="1">
      <c r="A394" s="416"/>
      <c r="B394" s="1079" t="s">
        <v>558</v>
      </c>
      <c r="C394" s="1079"/>
      <c r="D394" s="1079"/>
      <c r="E394" s="598">
        <v>0</v>
      </c>
      <c r="F394" s="599">
        <f>E394*F380</f>
        <v>0</v>
      </c>
      <c r="G394" s="574"/>
      <c r="H394" s="1076"/>
      <c r="I394" s="1076"/>
      <c r="J394" s="1077"/>
      <c r="K394" s="1077"/>
      <c r="L394" s="1078"/>
      <c r="M394" s="1078"/>
      <c r="N394" s="568"/>
    </row>
    <row r="395" spans="1:15" ht="12.95" customHeight="1">
      <c r="A395" s="416"/>
      <c r="B395" s="1079" t="s">
        <v>559</v>
      </c>
      <c r="C395" s="1079"/>
      <c r="D395" s="1079"/>
      <c r="E395" s="288" t="s">
        <v>88</v>
      </c>
      <c r="F395" s="599">
        <v>200000</v>
      </c>
      <c r="G395" s="574"/>
      <c r="H395" s="1076"/>
      <c r="I395" s="1076"/>
      <c r="J395" s="1077"/>
      <c r="K395" s="1077"/>
      <c r="L395" s="1078"/>
      <c r="M395" s="1078"/>
      <c r="N395" s="568"/>
    </row>
    <row r="396" spans="1:15" ht="12.95" customHeight="1">
      <c r="A396" s="416"/>
      <c r="B396" s="1079" t="s">
        <v>560</v>
      </c>
      <c r="C396" s="1079"/>
      <c r="D396" s="1079"/>
      <c r="E396" s="288" t="s">
        <v>88</v>
      </c>
      <c r="F396" s="599">
        <v>180000</v>
      </c>
      <c r="G396" s="574"/>
      <c r="H396" s="1076"/>
      <c r="I396" s="1076"/>
      <c r="J396" s="1077"/>
      <c r="K396" s="1077"/>
      <c r="L396" s="1078"/>
      <c r="M396" s="1078"/>
      <c r="N396" s="568"/>
    </row>
    <row r="397" spans="1:15">
      <c r="A397" s="416"/>
      <c r="B397" s="1064" t="s">
        <v>561</v>
      </c>
      <c r="C397" s="1064"/>
      <c r="D397" s="1064"/>
      <c r="E397" s="598">
        <v>0.03</v>
      </c>
      <c r="F397" s="599">
        <f>E397*F380</f>
        <v>2667678.4566686633</v>
      </c>
      <c r="G397" s="574"/>
      <c r="H397" s="1083">
        <v>973348.82000000007</v>
      </c>
      <c r="I397" s="1083"/>
      <c r="J397" s="1083">
        <v>339000</v>
      </c>
      <c r="K397" s="1083"/>
      <c r="L397" s="1084">
        <f>H397+J397</f>
        <v>1312348.82</v>
      </c>
      <c r="M397" s="1084"/>
      <c r="N397" s="600"/>
    </row>
    <row r="398" spans="1:15">
      <c r="A398" s="416"/>
      <c r="B398" s="1064" t="s">
        <v>562</v>
      </c>
      <c r="C398" s="1064"/>
      <c r="D398" s="1064"/>
      <c r="E398" s="598">
        <v>0</v>
      </c>
      <c r="F398" s="599">
        <f>E398*F380</f>
        <v>0</v>
      </c>
      <c r="G398" s="574"/>
      <c r="H398" s="1076"/>
      <c r="I398" s="1076"/>
      <c r="J398" s="1077"/>
      <c r="K398" s="1077"/>
      <c r="L398" s="1078"/>
      <c r="M398" s="1078"/>
      <c r="N398" s="601"/>
      <c r="O398" s="169"/>
    </row>
    <row r="399" spans="1:15">
      <c r="A399" s="416"/>
      <c r="B399" s="1075" t="s">
        <v>44</v>
      </c>
      <c r="C399" s="1075"/>
      <c r="D399" s="1075"/>
      <c r="E399" s="588"/>
      <c r="F399" s="602">
        <f>SUM(F394:F398)</f>
        <v>3047678.4566686633</v>
      </c>
      <c r="G399" s="602"/>
      <c r="H399" s="1077">
        <f>SUM(H397:H398)</f>
        <v>973348.82000000007</v>
      </c>
      <c r="I399" s="1077"/>
      <c r="J399" s="1077">
        <f>J397</f>
        <v>339000</v>
      </c>
      <c r="K399" s="1077"/>
      <c r="L399" s="1078">
        <f>SUM(L397:L398)</f>
        <v>1312348.82</v>
      </c>
      <c r="M399" s="1078"/>
      <c r="N399" s="585"/>
    </row>
    <row r="400" spans="1:15">
      <c r="A400" s="416"/>
      <c r="B400" s="591"/>
      <c r="C400" s="416"/>
      <c r="D400" s="597"/>
      <c r="E400" s="588"/>
      <c r="F400" s="574"/>
      <c r="G400" s="574"/>
      <c r="H400" s="589"/>
      <c r="I400" s="416"/>
      <c r="J400" s="590"/>
      <c r="K400" s="416"/>
      <c r="L400" s="574"/>
      <c r="M400" s="416"/>
      <c r="N400" s="603"/>
    </row>
    <row r="401" spans="1:15">
      <c r="A401" s="416"/>
      <c r="B401" s="1064" t="s">
        <v>563</v>
      </c>
      <c r="C401" s="1064"/>
      <c r="D401" s="1064"/>
      <c r="E401" s="568"/>
      <c r="F401" s="444">
        <f>F399+F392-0.01</f>
        <v>110999733.32652724</v>
      </c>
      <c r="G401" s="595"/>
      <c r="H401" s="1083">
        <f>H392+H399</f>
        <v>74232627.056666344</v>
      </c>
      <c r="I401" s="1083"/>
      <c r="J401" s="1083">
        <f>J399+J392</f>
        <v>13635035.297219258</v>
      </c>
      <c r="K401" s="1083"/>
      <c r="L401" s="1083">
        <f>L392+L399</f>
        <v>87867662.353885606</v>
      </c>
      <c r="M401" s="1083"/>
      <c r="N401" s="604"/>
    </row>
    <row r="402" spans="1:15">
      <c r="A402" s="416"/>
      <c r="B402" s="591"/>
      <c r="C402" s="5"/>
      <c r="D402" s="605"/>
      <c r="E402" s="568"/>
      <c r="F402" s="595"/>
      <c r="G402" s="595"/>
      <c r="H402" s="595"/>
      <c r="I402" s="593"/>
      <c r="J402" s="1087"/>
      <c r="K402" s="1087"/>
      <c r="L402" s="605"/>
      <c r="M402" s="595"/>
      <c r="N402" s="416"/>
    </row>
    <row r="403" spans="1:15">
      <c r="A403" s="416"/>
      <c r="B403" s="564"/>
      <c r="C403" s="606" t="s">
        <v>107</v>
      </c>
      <c r="D403" s="564"/>
      <c r="E403" s="564"/>
      <c r="F403" s="564"/>
      <c r="G403" s="564"/>
      <c r="H403" s="564"/>
      <c r="I403" s="564"/>
      <c r="J403" s="564"/>
      <c r="K403" s="416"/>
      <c r="L403" s="564"/>
      <c r="M403" s="564"/>
      <c r="N403" s="607"/>
    </row>
    <row r="404" spans="1:15">
      <c r="A404" s="416"/>
      <c r="B404" s="1064" t="s">
        <v>108</v>
      </c>
      <c r="C404" s="1064"/>
      <c r="D404" s="1064"/>
      <c r="E404" s="584">
        <v>0.2</v>
      </c>
      <c r="F404" s="568"/>
      <c r="G404" s="568"/>
      <c r="H404" s="1066">
        <f>H392*E404</f>
        <v>14651855.647333272</v>
      </c>
      <c r="I404" s="1066"/>
      <c r="J404" s="1066">
        <f>J392*E404</f>
        <v>2659207.0594438519</v>
      </c>
      <c r="K404" s="1066"/>
      <c r="L404" s="1066">
        <f>H404+J404</f>
        <v>17311062.706777126</v>
      </c>
      <c r="M404" s="1066"/>
      <c r="N404" s="416"/>
      <c r="O404" s="273"/>
    </row>
    <row r="405" spans="1:15">
      <c r="A405" s="416"/>
      <c r="B405" s="1075" t="s">
        <v>44</v>
      </c>
      <c r="C405" s="1075"/>
      <c r="D405" s="1075"/>
      <c r="E405" s="568"/>
      <c r="F405" s="568"/>
      <c r="G405" s="568"/>
      <c r="H405" s="1088">
        <f>SUM(H404:H404)</f>
        <v>14651855.647333272</v>
      </c>
      <c r="I405" s="1088"/>
      <c r="J405" s="1088">
        <f>SUM(J404:J404)</f>
        <v>2659207.0594438519</v>
      </c>
      <c r="K405" s="1088"/>
      <c r="L405" s="1089">
        <f>H405+J405</f>
        <v>17311062.706777126</v>
      </c>
      <c r="M405" s="1089"/>
      <c r="N405" s="416"/>
    </row>
    <row r="406" spans="1:15">
      <c r="A406" s="416"/>
      <c r="B406" s="1064" t="s">
        <v>109</v>
      </c>
      <c r="C406" s="1064"/>
      <c r="D406" s="1064"/>
      <c r="E406" s="568"/>
      <c r="F406" s="568"/>
      <c r="G406" s="568"/>
      <c r="H406" s="1085">
        <f>+H392-H405+H399</f>
        <v>59580771.40933308</v>
      </c>
      <c r="I406" s="1085"/>
      <c r="J406" s="1086">
        <f>J392-J405+J399</f>
        <v>10975828.237775406</v>
      </c>
      <c r="K406" s="1086"/>
      <c r="L406" s="1083">
        <f>L392+L399-L405</f>
        <v>70556599.64710848</v>
      </c>
      <c r="M406" s="1083"/>
      <c r="N406" s="416"/>
    </row>
    <row r="407" spans="1:15">
      <c r="A407" s="416"/>
      <c r="B407" s="564"/>
      <c r="C407" s="5"/>
      <c r="D407" s="568"/>
      <c r="E407" s="568"/>
      <c r="F407" s="568"/>
      <c r="G407" s="568"/>
      <c r="H407" s="568"/>
      <c r="I407" s="593"/>
      <c r="J407" s="564"/>
      <c r="K407" s="585"/>
      <c r="L407" s="568"/>
      <c r="M407" s="568"/>
      <c r="N407" s="416"/>
    </row>
    <row r="408" spans="1:15">
      <c r="A408" s="416"/>
      <c r="B408" s="151"/>
      <c r="C408" s="1065"/>
      <c r="D408" s="1065"/>
      <c r="E408" s="151"/>
      <c r="F408" s="151"/>
      <c r="G408" s="1065"/>
      <c r="H408" s="1065"/>
      <c r="I408" s="1065"/>
      <c r="J408" s="1065"/>
      <c r="K408" s="1065"/>
      <c r="L408" s="1065"/>
      <c r="M408" s="151"/>
      <c r="N408" s="416"/>
    </row>
    <row r="409" spans="1:15" ht="13.5" customHeight="1">
      <c r="A409" s="416"/>
      <c r="B409" s="151"/>
      <c r="C409" s="151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  <c r="N409" s="608"/>
    </row>
    <row r="410" spans="1:15">
      <c r="A410" s="416"/>
      <c r="B410" s="15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416"/>
      <c r="O410" s="424"/>
    </row>
    <row r="411" spans="1:15">
      <c r="B411" s="1"/>
      <c r="C411" s="1004" t="s">
        <v>111</v>
      </c>
      <c r="D411" s="1004"/>
      <c r="E411" s="1004"/>
      <c r="F411" s="1004"/>
      <c r="I411" s="100" t="s">
        <v>11</v>
      </c>
      <c r="L411" s="1004" t="s">
        <v>112</v>
      </c>
      <c r="M411" s="1004"/>
      <c r="N411" s="416"/>
    </row>
    <row r="412" spans="1:15">
      <c r="B412" s="1"/>
      <c r="C412" s="1"/>
      <c r="D412" s="1004"/>
      <c r="E412" s="1004"/>
      <c r="F412" s="1004"/>
      <c r="G412" s="1004"/>
      <c r="H412" s="1004"/>
      <c r="I412" s="1004"/>
      <c r="J412" s="1004"/>
      <c r="K412" s="1004"/>
      <c r="L412" s="1004"/>
      <c r="M412" s="1004"/>
    </row>
    <row r="413" spans="1:15">
      <c r="B413" s="1"/>
      <c r="C413" s="1"/>
      <c r="D413" s="1" t="s">
        <v>114</v>
      </c>
      <c r="E413" s="1"/>
      <c r="F413" s="1"/>
      <c r="G413" s="1038" t="s">
        <v>564</v>
      </c>
      <c r="H413" s="1038"/>
      <c r="I413" s="1038"/>
      <c r="J413" s="1038"/>
      <c r="K413" s="1038"/>
      <c r="L413" s="1022" t="s">
        <v>116</v>
      </c>
      <c r="M413" s="1022"/>
    </row>
    <row r="414" spans="1:15">
      <c r="B414" s="1"/>
      <c r="C414" s="1"/>
      <c r="D414" s="1" t="s">
        <v>118</v>
      </c>
      <c r="E414" s="1"/>
      <c r="F414" s="1"/>
      <c r="G414" s="1024" t="s">
        <v>344</v>
      </c>
      <c r="H414" s="1024"/>
      <c r="I414" s="1024"/>
      <c r="J414" s="1024"/>
      <c r="K414" s="1024"/>
      <c r="L414" s="1004" t="s">
        <v>119</v>
      </c>
      <c r="M414" s="1004"/>
    </row>
  </sheetData>
  <mergeCells count="109">
    <mergeCell ref="G414:K414"/>
    <mergeCell ref="L414:M414"/>
    <mergeCell ref="C411:F411"/>
    <mergeCell ref="L411:M411"/>
    <mergeCell ref="D412:F412"/>
    <mergeCell ref="G412:J412"/>
    <mergeCell ref="K412:M412"/>
    <mergeCell ref="G413:K413"/>
    <mergeCell ref="L413:M413"/>
    <mergeCell ref="B406:D406"/>
    <mergeCell ref="H406:I406"/>
    <mergeCell ref="J406:K406"/>
    <mergeCell ref="L406:M406"/>
    <mergeCell ref="C408:D408"/>
    <mergeCell ref="G408:I408"/>
    <mergeCell ref="J408:L408"/>
    <mergeCell ref="J402:K402"/>
    <mergeCell ref="B404:D404"/>
    <mergeCell ref="H404:I404"/>
    <mergeCell ref="J404:K404"/>
    <mergeCell ref="L404:M404"/>
    <mergeCell ref="B405:D405"/>
    <mergeCell ref="H405:I405"/>
    <mergeCell ref="J405:K405"/>
    <mergeCell ref="L405:M405"/>
    <mergeCell ref="B399:D399"/>
    <mergeCell ref="H399:I399"/>
    <mergeCell ref="J399:K399"/>
    <mergeCell ref="L399:M399"/>
    <mergeCell ref="B401:D401"/>
    <mergeCell ref="H401:I401"/>
    <mergeCell ref="J401:K401"/>
    <mergeCell ref="L401:M401"/>
    <mergeCell ref="B397:D397"/>
    <mergeCell ref="H397:I397"/>
    <mergeCell ref="J397:K397"/>
    <mergeCell ref="L397:M397"/>
    <mergeCell ref="B398:D398"/>
    <mergeCell ref="H398:I398"/>
    <mergeCell ref="J398:K398"/>
    <mergeCell ref="L398:M398"/>
    <mergeCell ref="B395:D395"/>
    <mergeCell ref="H395:I395"/>
    <mergeCell ref="J395:K395"/>
    <mergeCell ref="L395:M395"/>
    <mergeCell ref="B396:D396"/>
    <mergeCell ref="H396:I396"/>
    <mergeCell ref="J396:K396"/>
    <mergeCell ref="L396:M396"/>
    <mergeCell ref="B392:D392"/>
    <mergeCell ref="H392:I392"/>
    <mergeCell ref="J392:K392"/>
    <mergeCell ref="L392:M392"/>
    <mergeCell ref="B394:D394"/>
    <mergeCell ref="H394:I394"/>
    <mergeCell ref="J394:K394"/>
    <mergeCell ref="L394:M394"/>
    <mergeCell ref="B389:D389"/>
    <mergeCell ref="H389:I389"/>
    <mergeCell ref="J389:K389"/>
    <mergeCell ref="L389:M389"/>
    <mergeCell ref="B390:D390"/>
    <mergeCell ref="H390:I390"/>
    <mergeCell ref="J390:K390"/>
    <mergeCell ref="L390:M390"/>
    <mergeCell ref="B387:D387"/>
    <mergeCell ref="H387:I387"/>
    <mergeCell ref="J387:K387"/>
    <mergeCell ref="L387:M387"/>
    <mergeCell ref="B388:D388"/>
    <mergeCell ref="H388:I388"/>
    <mergeCell ref="J388:K388"/>
    <mergeCell ref="L388:M388"/>
    <mergeCell ref="B385:D385"/>
    <mergeCell ref="H385:I385"/>
    <mergeCell ref="J385:K385"/>
    <mergeCell ref="L385:M385"/>
    <mergeCell ref="B386:D386"/>
    <mergeCell ref="H386:I386"/>
    <mergeCell ref="J386:K386"/>
    <mergeCell ref="L386:M386"/>
    <mergeCell ref="B382:D382"/>
    <mergeCell ref="L382:M383"/>
    <mergeCell ref="B383:D383"/>
    <mergeCell ref="H383:I383"/>
    <mergeCell ref="J383:K383"/>
    <mergeCell ref="B384:D384"/>
    <mergeCell ref="H384:I384"/>
    <mergeCell ref="J384:K384"/>
    <mergeCell ref="L384:M384"/>
    <mergeCell ref="B380:E380"/>
    <mergeCell ref="H380:I380"/>
    <mergeCell ref="J380:K380"/>
    <mergeCell ref="L380:M380"/>
    <mergeCell ref="B371:M371"/>
    <mergeCell ref="D374:G374"/>
    <mergeCell ref="K374:L374"/>
    <mergeCell ref="B376:C376"/>
    <mergeCell ref="D376:E376"/>
    <mergeCell ref="D377:E377"/>
    <mergeCell ref="A1:M1"/>
    <mergeCell ref="A2:M2"/>
    <mergeCell ref="K4:L4"/>
    <mergeCell ref="A8:F8"/>
    <mergeCell ref="G8:J8"/>
    <mergeCell ref="K8:M8"/>
    <mergeCell ref="H379:I379"/>
    <mergeCell ref="J379:K379"/>
    <mergeCell ref="L379:M379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E4524-0880-4105-AE2A-B976369523ED}">
  <dimension ref="A1:O414"/>
  <sheetViews>
    <sheetView topLeftCell="A186" workbookViewId="0">
      <selection activeCell="H18" sqref="H18"/>
    </sheetView>
  </sheetViews>
  <sheetFormatPr baseColWidth="10" defaultColWidth="10.85546875" defaultRowHeight="15"/>
  <cols>
    <col min="1" max="1" width="7.42578125" customWidth="1"/>
    <col min="2" max="2" width="42" customWidth="1"/>
    <col min="3" max="3" width="17" customWidth="1"/>
    <col min="4" max="4" width="6.140625" customWidth="1"/>
    <col min="5" max="5" width="11" customWidth="1"/>
    <col min="6" max="6" width="15.140625" bestFit="1" customWidth="1"/>
    <col min="7" max="7" width="11.140625" bestFit="1" customWidth="1"/>
    <col min="8" max="8" width="11.42578125" bestFit="1" customWidth="1"/>
    <col min="9" max="9" width="12.140625" customWidth="1"/>
    <col min="10" max="10" width="8.140625" customWidth="1"/>
    <col min="11" max="11" width="11.42578125" customWidth="1"/>
    <col min="12" max="12" width="14.140625" customWidth="1"/>
    <col min="13" max="14" width="15.42578125" customWidth="1"/>
    <col min="15" max="15" width="15.42578125" bestFit="1" customWidth="1"/>
  </cols>
  <sheetData>
    <row r="1" spans="1:14">
      <c r="A1" s="1004" t="s">
        <v>0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</row>
    <row r="2" spans="1:14">
      <c r="A2" s="1005" t="s">
        <v>1</v>
      </c>
      <c r="B2" s="1005"/>
      <c r="C2" s="1005"/>
      <c r="D2" s="1005"/>
      <c r="E2" s="1005"/>
      <c r="F2" s="1005"/>
      <c r="G2" s="1005"/>
      <c r="H2" s="1005"/>
      <c r="I2" s="1005"/>
      <c r="J2" s="1005"/>
      <c r="K2" s="1005"/>
      <c r="L2" s="1005"/>
      <c r="M2" s="1005"/>
    </row>
    <row r="3" spans="1:1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4" t="s">
        <v>120</v>
      </c>
      <c r="N3" s="442"/>
    </row>
    <row r="4" spans="1:14">
      <c r="A4" s="3"/>
      <c r="B4" s="4" t="s">
        <v>2</v>
      </c>
      <c r="C4" s="8" t="s">
        <v>340</v>
      </c>
      <c r="D4" s="8"/>
      <c r="E4" s="8"/>
      <c r="F4" s="8"/>
      <c r="G4" s="323"/>
      <c r="H4" s="3"/>
      <c r="I4" s="3"/>
      <c r="J4" s="3"/>
      <c r="K4" s="1064" t="s">
        <v>4</v>
      </c>
      <c r="L4" s="1064"/>
      <c r="M4" s="444">
        <v>110999733.32652724</v>
      </c>
      <c r="N4" s="445"/>
    </row>
    <row r="5" spans="1:14">
      <c r="A5" s="3"/>
      <c r="B5" s="4" t="s">
        <v>5</v>
      </c>
      <c r="C5" s="7">
        <v>6</v>
      </c>
      <c r="D5" s="3"/>
      <c r="E5" s="8"/>
      <c r="F5" s="8"/>
      <c r="G5" s="8"/>
      <c r="H5" s="3"/>
      <c r="I5" s="3"/>
      <c r="J5" s="3"/>
      <c r="K5" s="3"/>
      <c r="L5" s="4" t="s">
        <v>6</v>
      </c>
      <c r="M5" s="6" t="s">
        <v>341</v>
      </c>
      <c r="N5" s="446"/>
    </row>
    <row r="6" spans="1:14">
      <c r="A6" s="3"/>
      <c r="B6" s="4" t="s">
        <v>7</v>
      </c>
      <c r="C6" s="8" t="s">
        <v>342</v>
      </c>
      <c r="D6" s="8"/>
      <c r="E6" s="8"/>
      <c r="F6" s="8"/>
      <c r="G6" s="11"/>
      <c r="H6" s="3"/>
      <c r="I6" s="3"/>
      <c r="J6" s="3"/>
      <c r="K6" s="3"/>
      <c r="L6" s="4" t="s">
        <v>9</v>
      </c>
      <c r="M6" s="13" t="s">
        <v>343</v>
      </c>
      <c r="N6" s="446"/>
    </row>
    <row r="7" spans="1:14">
      <c r="A7" s="3"/>
      <c r="B7" s="4" t="s">
        <v>11</v>
      </c>
      <c r="C7" s="8" t="s">
        <v>344</v>
      </c>
      <c r="D7" s="8"/>
      <c r="E7" s="8"/>
      <c r="F7" s="8"/>
      <c r="G7" s="8"/>
      <c r="H7" s="3"/>
      <c r="I7" s="3"/>
      <c r="J7" s="3"/>
      <c r="K7" s="3"/>
      <c r="L7" s="3"/>
      <c r="M7" s="3"/>
      <c r="N7" s="447"/>
    </row>
    <row r="8" spans="1:14">
      <c r="A8" s="1031" t="s">
        <v>181</v>
      </c>
      <c r="B8" s="1031"/>
      <c r="C8" s="1031"/>
      <c r="D8" s="1031"/>
      <c r="E8" s="1031"/>
      <c r="F8" s="1031"/>
      <c r="G8" s="1008" t="s">
        <v>14</v>
      </c>
      <c r="H8" s="1008"/>
      <c r="I8" s="1008"/>
      <c r="J8" s="1008"/>
      <c r="K8" s="1009" t="s">
        <v>15</v>
      </c>
      <c r="L8" s="1009"/>
      <c r="M8" s="1009"/>
      <c r="N8" s="7"/>
    </row>
    <row r="9" spans="1:14" ht="24">
      <c r="A9" s="448" t="s">
        <v>16</v>
      </c>
      <c r="B9" s="449" t="s">
        <v>17</v>
      </c>
      <c r="C9" s="449" t="s">
        <v>19</v>
      </c>
      <c r="D9" s="449" t="s">
        <v>32</v>
      </c>
      <c r="E9" s="450" t="s">
        <v>20</v>
      </c>
      <c r="F9" s="450" t="s">
        <v>21</v>
      </c>
      <c r="G9" s="451" t="s">
        <v>22</v>
      </c>
      <c r="H9" s="451" t="s">
        <v>23</v>
      </c>
      <c r="I9" s="452" t="s">
        <v>24</v>
      </c>
      <c r="J9" s="453" t="s">
        <v>25</v>
      </c>
      <c r="K9" s="454" t="s">
        <v>22</v>
      </c>
      <c r="L9" s="455" t="s">
        <v>23</v>
      </c>
      <c r="M9" s="455" t="s">
        <v>24</v>
      </c>
      <c r="N9" s="456"/>
    </row>
    <row r="10" spans="1:14">
      <c r="A10" s="457" t="s">
        <v>247</v>
      </c>
      <c r="B10" s="458" t="s">
        <v>182</v>
      </c>
      <c r="C10" s="457"/>
      <c r="D10" s="459"/>
      <c r="E10" s="457"/>
      <c r="F10" s="457"/>
      <c r="G10" s="460"/>
      <c r="H10" s="461"/>
      <c r="I10" s="462"/>
      <c r="J10" s="463"/>
      <c r="K10" s="464"/>
      <c r="L10" s="465"/>
      <c r="M10" s="465"/>
      <c r="N10" s="466"/>
    </row>
    <row r="11" spans="1:14">
      <c r="A11" s="457">
        <v>1</v>
      </c>
      <c r="B11" s="458" t="s">
        <v>345</v>
      </c>
      <c r="C11" s="457"/>
      <c r="D11" s="459"/>
      <c r="E11" s="457"/>
      <c r="F11" s="457"/>
      <c r="G11" s="460"/>
      <c r="H11" s="461"/>
      <c r="I11" s="462"/>
      <c r="J11" s="463"/>
      <c r="K11" s="464"/>
      <c r="L11" s="465"/>
      <c r="M11" s="465"/>
      <c r="N11" s="609"/>
    </row>
    <row r="12" spans="1:14">
      <c r="A12" s="467">
        <v>1.01</v>
      </c>
      <c r="B12" s="468" t="s">
        <v>346</v>
      </c>
      <c r="C12" s="469">
        <v>3</v>
      </c>
      <c r="D12" s="470" t="s">
        <v>50</v>
      </c>
      <c r="E12" s="471">
        <v>21240</v>
      </c>
      <c r="F12" s="471">
        <f>C12*E12</f>
        <v>63720</v>
      </c>
      <c r="G12" s="472">
        <v>3</v>
      </c>
      <c r="H12" s="472"/>
      <c r="I12" s="472">
        <f t="shared" ref="I12:I14" si="0">G12+H12</f>
        <v>3</v>
      </c>
      <c r="J12" s="473">
        <f t="shared" ref="J12:J14" si="1">I12/C12</f>
        <v>1</v>
      </c>
      <c r="K12" s="474">
        <f t="shared" ref="K12:K14" si="2">G12*E12</f>
        <v>63720</v>
      </c>
      <c r="L12" s="474">
        <f t="shared" ref="L12:L14" si="3">H12*E12</f>
        <v>0</v>
      </c>
      <c r="M12" s="474">
        <f t="shared" ref="M12:M15" si="4">K12+L12</f>
        <v>63720</v>
      </c>
      <c r="N12" s="609"/>
    </row>
    <row r="13" spans="1:14">
      <c r="A13" s="467">
        <v>1.02</v>
      </c>
      <c r="B13" s="468" t="s">
        <v>347</v>
      </c>
      <c r="C13" s="469">
        <v>24</v>
      </c>
      <c r="D13" s="470" t="s">
        <v>348</v>
      </c>
      <c r="E13" s="471">
        <v>50000</v>
      </c>
      <c r="F13" s="471">
        <f t="shared" ref="F13:F14" si="5">C13*E13</f>
        <v>1200000</v>
      </c>
      <c r="G13" s="472">
        <v>20</v>
      </c>
      <c r="H13" s="472"/>
      <c r="I13" s="472">
        <f t="shared" si="0"/>
        <v>20</v>
      </c>
      <c r="J13" s="473">
        <f t="shared" si="1"/>
        <v>0.83333333333333337</v>
      </c>
      <c r="K13" s="474">
        <f t="shared" si="2"/>
        <v>1000000</v>
      </c>
      <c r="L13" s="474">
        <f t="shared" si="3"/>
        <v>0</v>
      </c>
      <c r="M13" s="474">
        <f t="shared" si="4"/>
        <v>1000000</v>
      </c>
      <c r="N13" s="609"/>
    </row>
    <row r="14" spans="1:14" s="446" customFormat="1" ht="12.75">
      <c r="A14" s="467">
        <v>1.03</v>
      </c>
      <c r="B14" s="468" t="s">
        <v>349</v>
      </c>
      <c r="C14" s="469">
        <v>24</v>
      </c>
      <c r="D14" s="470" t="s">
        <v>348</v>
      </c>
      <c r="E14" s="471">
        <v>28103.850833333301</v>
      </c>
      <c r="F14" s="471">
        <f t="shared" si="5"/>
        <v>674492.41999999923</v>
      </c>
      <c r="G14" s="472">
        <v>19</v>
      </c>
      <c r="H14" s="472"/>
      <c r="I14" s="472">
        <f t="shared" si="0"/>
        <v>19</v>
      </c>
      <c r="J14" s="473">
        <f t="shared" si="1"/>
        <v>0.79166666666666663</v>
      </c>
      <c r="K14" s="474">
        <f t="shared" si="2"/>
        <v>533973.16583333269</v>
      </c>
      <c r="L14" s="474">
        <f t="shared" si="3"/>
        <v>0</v>
      </c>
      <c r="M14" s="474">
        <f t="shared" si="4"/>
        <v>533973.16583333269</v>
      </c>
      <c r="N14" s="609"/>
    </row>
    <row r="15" spans="1:14">
      <c r="A15" s="476"/>
      <c r="B15" s="477" t="s">
        <v>44</v>
      </c>
      <c r="C15" s="478"/>
      <c r="D15" s="479"/>
      <c r="E15" s="480"/>
      <c r="F15" s="481">
        <f>SUM(F12:F14)</f>
        <v>1938212.4199999992</v>
      </c>
      <c r="G15" s="482"/>
      <c r="H15" s="482"/>
      <c r="I15" s="483"/>
      <c r="J15" s="482"/>
      <c r="K15" s="484">
        <f>SUM(K4:K14)</f>
        <v>1597693.1658333326</v>
      </c>
      <c r="L15" s="484">
        <f>SUM(L4:L14)</f>
        <v>0</v>
      </c>
      <c r="M15" s="484">
        <f t="shared" si="4"/>
        <v>1597693.1658333326</v>
      </c>
      <c r="N15" s="609"/>
    </row>
    <row r="16" spans="1:14">
      <c r="A16" s="457" t="s">
        <v>185</v>
      </c>
      <c r="B16" s="458" t="s">
        <v>350</v>
      </c>
      <c r="C16" s="457"/>
      <c r="D16" s="459"/>
      <c r="E16" s="457"/>
      <c r="F16" s="457"/>
      <c r="G16" s="460"/>
      <c r="H16" s="461"/>
      <c r="I16" s="462"/>
      <c r="J16" s="463"/>
      <c r="K16" s="464"/>
      <c r="L16" s="465"/>
      <c r="M16" s="465"/>
      <c r="N16" s="609"/>
    </row>
    <row r="17" spans="1:14">
      <c r="A17" s="457">
        <v>1</v>
      </c>
      <c r="B17" s="485" t="s">
        <v>351</v>
      </c>
      <c r="C17" s="486"/>
      <c r="D17" s="478"/>
      <c r="E17" s="480"/>
      <c r="F17" s="480"/>
      <c r="G17" s="460"/>
      <c r="H17" s="461"/>
      <c r="I17" s="462"/>
      <c r="J17" s="487"/>
      <c r="K17" s="464"/>
      <c r="L17" s="464"/>
      <c r="M17" s="464"/>
      <c r="N17" s="609"/>
    </row>
    <row r="18" spans="1:14">
      <c r="A18" s="467">
        <v>1.01</v>
      </c>
      <c r="B18" s="68" t="s">
        <v>352</v>
      </c>
      <c r="C18" s="469">
        <v>400</v>
      </c>
      <c r="D18" s="479" t="s">
        <v>353</v>
      </c>
      <c r="E18" s="488">
        <v>1100</v>
      </c>
      <c r="F18" s="488">
        <v>440000</v>
      </c>
      <c r="G18" s="472">
        <v>400</v>
      </c>
      <c r="H18" s="472"/>
      <c r="I18" s="472">
        <f>G18+H18</f>
        <v>400</v>
      </c>
      <c r="J18" s="473">
        <f>I18/C18</f>
        <v>1</v>
      </c>
      <c r="K18" s="474">
        <f>G18*E18</f>
        <v>440000</v>
      </c>
      <c r="L18" s="474">
        <f>H18*E18</f>
        <v>0</v>
      </c>
      <c r="M18" s="474">
        <f>K18+L18</f>
        <v>440000</v>
      </c>
      <c r="N18" s="609"/>
    </row>
    <row r="19" spans="1:14">
      <c r="A19" s="467">
        <v>1.02</v>
      </c>
      <c r="B19" s="68" t="s">
        <v>354</v>
      </c>
      <c r="C19" s="469">
        <v>400</v>
      </c>
      <c r="D19" s="479" t="s">
        <v>353</v>
      </c>
      <c r="E19" s="488">
        <v>160</v>
      </c>
      <c r="F19" s="488">
        <v>64000</v>
      </c>
      <c r="G19" s="472">
        <v>400</v>
      </c>
      <c r="H19" s="472"/>
      <c r="I19" s="472">
        <f t="shared" ref="I19:I28" si="6">G19+H19</f>
        <v>400</v>
      </c>
      <c r="J19" s="473">
        <f t="shared" ref="J19:J28" si="7">I19/C19</f>
        <v>1</v>
      </c>
      <c r="K19" s="474">
        <f t="shared" ref="K19:K28" si="8">G19*E19</f>
        <v>64000</v>
      </c>
      <c r="L19" s="474">
        <f t="shared" ref="L19:L28" si="9">H19*E19</f>
        <v>0</v>
      </c>
      <c r="M19" s="474">
        <f t="shared" ref="M19:M29" si="10">K19+L19</f>
        <v>64000</v>
      </c>
      <c r="N19" s="609"/>
    </row>
    <row r="20" spans="1:14" ht="24.75">
      <c r="A20" s="467">
        <v>1.03</v>
      </c>
      <c r="B20" s="68" t="s">
        <v>355</v>
      </c>
      <c r="C20" s="469">
        <v>350</v>
      </c>
      <c r="D20" s="479" t="s">
        <v>353</v>
      </c>
      <c r="E20" s="488">
        <v>173.25</v>
      </c>
      <c r="F20" s="488">
        <v>60637.5</v>
      </c>
      <c r="G20" s="472">
        <v>350</v>
      </c>
      <c r="H20" s="472"/>
      <c r="I20" s="472">
        <f t="shared" si="6"/>
        <v>350</v>
      </c>
      <c r="J20" s="473">
        <f t="shared" si="7"/>
        <v>1</v>
      </c>
      <c r="K20" s="474">
        <f t="shared" si="8"/>
        <v>60637.5</v>
      </c>
      <c r="L20" s="474">
        <f t="shared" si="9"/>
        <v>0</v>
      </c>
      <c r="M20" s="474">
        <f t="shared" si="10"/>
        <v>60637.5</v>
      </c>
      <c r="N20" s="609"/>
    </row>
    <row r="21" spans="1:14">
      <c r="A21" s="467">
        <v>1.04</v>
      </c>
      <c r="B21" s="68" t="s">
        <v>356</v>
      </c>
      <c r="C21" s="469">
        <v>5</v>
      </c>
      <c r="D21" s="479" t="s">
        <v>50</v>
      </c>
      <c r="E21" s="488">
        <v>2970</v>
      </c>
      <c r="F21" s="488">
        <v>14850</v>
      </c>
      <c r="G21" s="472">
        <v>5</v>
      </c>
      <c r="H21" s="472"/>
      <c r="I21" s="472">
        <f t="shared" si="6"/>
        <v>5</v>
      </c>
      <c r="J21" s="473">
        <f t="shared" si="7"/>
        <v>1</v>
      </c>
      <c r="K21" s="474">
        <f t="shared" si="8"/>
        <v>14850</v>
      </c>
      <c r="L21" s="474">
        <f t="shared" si="9"/>
        <v>0</v>
      </c>
      <c r="M21" s="474">
        <f t="shared" si="10"/>
        <v>14850</v>
      </c>
      <c r="N21" s="609"/>
    </row>
    <row r="22" spans="1:14">
      <c r="A22" s="467">
        <v>1.05</v>
      </c>
      <c r="B22" s="68" t="s">
        <v>357</v>
      </c>
      <c r="C22" s="469">
        <v>400</v>
      </c>
      <c r="D22" s="479" t="s">
        <v>353</v>
      </c>
      <c r="E22" s="488">
        <v>1782</v>
      </c>
      <c r="F22" s="488">
        <v>712800</v>
      </c>
      <c r="G22" s="472">
        <v>400</v>
      </c>
      <c r="H22" s="472"/>
      <c r="I22" s="472">
        <f t="shared" si="6"/>
        <v>400</v>
      </c>
      <c r="J22" s="473">
        <f t="shared" si="7"/>
        <v>1</v>
      </c>
      <c r="K22" s="474">
        <f t="shared" si="8"/>
        <v>712800</v>
      </c>
      <c r="L22" s="474">
        <f t="shared" si="9"/>
        <v>0</v>
      </c>
      <c r="M22" s="474">
        <f t="shared" si="10"/>
        <v>712800</v>
      </c>
      <c r="N22" s="609"/>
    </row>
    <row r="23" spans="1:14">
      <c r="A23" s="467">
        <v>1.06</v>
      </c>
      <c r="B23" s="68" t="s">
        <v>358</v>
      </c>
      <c r="C23" s="469">
        <v>5</v>
      </c>
      <c r="D23" s="479" t="s">
        <v>50</v>
      </c>
      <c r="E23" s="488">
        <v>103950</v>
      </c>
      <c r="F23" s="488">
        <v>519750</v>
      </c>
      <c r="G23" s="472">
        <v>5</v>
      </c>
      <c r="H23" s="472"/>
      <c r="I23" s="472">
        <f t="shared" si="6"/>
        <v>5</v>
      </c>
      <c r="J23" s="473">
        <f t="shared" si="7"/>
        <v>1</v>
      </c>
      <c r="K23" s="474">
        <f t="shared" si="8"/>
        <v>519750</v>
      </c>
      <c r="L23" s="474">
        <f t="shared" si="9"/>
        <v>0</v>
      </c>
      <c r="M23" s="474">
        <f t="shared" si="10"/>
        <v>519750</v>
      </c>
      <c r="N23" s="609"/>
    </row>
    <row r="24" spans="1:14" ht="24.75">
      <c r="A24" s="467">
        <v>1.07</v>
      </c>
      <c r="B24" s="68" t="s">
        <v>359</v>
      </c>
      <c r="C24" s="469">
        <v>3</v>
      </c>
      <c r="D24" s="479" t="s">
        <v>50</v>
      </c>
      <c r="E24" s="488">
        <v>14850</v>
      </c>
      <c r="F24" s="488">
        <v>44550</v>
      </c>
      <c r="G24" s="472">
        <v>3</v>
      </c>
      <c r="H24" s="472"/>
      <c r="I24" s="472">
        <f t="shared" si="6"/>
        <v>3</v>
      </c>
      <c r="J24" s="473">
        <f t="shared" si="7"/>
        <v>1</v>
      </c>
      <c r="K24" s="474">
        <f t="shared" si="8"/>
        <v>44550</v>
      </c>
      <c r="L24" s="474">
        <f t="shared" si="9"/>
        <v>0</v>
      </c>
      <c r="M24" s="474">
        <f t="shared" si="10"/>
        <v>44550</v>
      </c>
      <c r="N24" s="609"/>
    </row>
    <row r="25" spans="1:14" ht="36.75">
      <c r="A25" s="489">
        <v>1.08</v>
      </c>
      <c r="B25" s="68" t="s">
        <v>360</v>
      </c>
      <c r="C25" s="490">
        <v>5</v>
      </c>
      <c r="D25" s="479" t="s">
        <v>88</v>
      </c>
      <c r="E25" s="491">
        <v>19800</v>
      </c>
      <c r="F25" s="491">
        <v>99000</v>
      </c>
      <c r="G25" s="472">
        <v>5</v>
      </c>
      <c r="H25" s="472"/>
      <c r="I25" s="472">
        <f t="shared" si="6"/>
        <v>5</v>
      </c>
      <c r="J25" s="473">
        <f t="shared" si="7"/>
        <v>1</v>
      </c>
      <c r="K25" s="474">
        <f t="shared" si="8"/>
        <v>99000</v>
      </c>
      <c r="L25" s="474">
        <f t="shared" si="9"/>
        <v>0</v>
      </c>
      <c r="M25" s="474">
        <f t="shared" si="10"/>
        <v>99000</v>
      </c>
      <c r="N25" s="609"/>
    </row>
    <row r="26" spans="1:14" s="493" customFormat="1" ht="12.75">
      <c r="A26" s="467">
        <v>1.0900000000000001</v>
      </c>
      <c r="B26" s="68" t="s">
        <v>361</v>
      </c>
      <c r="C26" s="469">
        <v>5</v>
      </c>
      <c r="D26" s="479" t="s">
        <v>50</v>
      </c>
      <c r="E26" s="488">
        <v>1980</v>
      </c>
      <c r="F26" s="488">
        <v>9900</v>
      </c>
      <c r="G26" s="472">
        <v>5</v>
      </c>
      <c r="H26" s="472"/>
      <c r="I26" s="472">
        <f t="shared" si="6"/>
        <v>5</v>
      </c>
      <c r="J26" s="473">
        <f t="shared" si="7"/>
        <v>1</v>
      </c>
      <c r="K26" s="474">
        <f t="shared" si="8"/>
        <v>9900</v>
      </c>
      <c r="L26" s="474">
        <f t="shared" si="9"/>
        <v>0</v>
      </c>
      <c r="M26" s="474">
        <f t="shared" si="10"/>
        <v>9900</v>
      </c>
      <c r="N26" s="609"/>
    </row>
    <row r="27" spans="1:14">
      <c r="A27" s="494">
        <v>1.1000000000000001</v>
      </c>
      <c r="B27" s="68" t="s">
        <v>362</v>
      </c>
      <c r="C27" s="469">
        <v>250</v>
      </c>
      <c r="D27" s="479" t="s">
        <v>353</v>
      </c>
      <c r="E27" s="488">
        <v>1100</v>
      </c>
      <c r="F27" s="488">
        <v>275000</v>
      </c>
      <c r="G27" s="472">
        <v>250</v>
      </c>
      <c r="H27" s="472"/>
      <c r="I27" s="472">
        <f t="shared" si="6"/>
        <v>250</v>
      </c>
      <c r="J27" s="473">
        <f t="shared" si="7"/>
        <v>1</v>
      </c>
      <c r="K27" s="474">
        <f t="shared" si="8"/>
        <v>275000</v>
      </c>
      <c r="L27" s="474">
        <f t="shared" si="9"/>
        <v>0</v>
      </c>
      <c r="M27" s="474">
        <f t="shared" si="10"/>
        <v>275000</v>
      </c>
      <c r="N27" s="609"/>
    </row>
    <row r="28" spans="1:14" s="446" customFormat="1" ht="12.75">
      <c r="A28" s="489">
        <v>1.1100000000000001</v>
      </c>
      <c r="B28" s="68" t="s">
        <v>363</v>
      </c>
      <c r="C28" s="469">
        <v>100</v>
      </c>
      <c r="D28" s="479" t="s">
        <v>353</v>
      </c>
      <c r="E28" s="488">
        <v>1134.72</v>
      </c>
      <c r="F28" s="488">
        <v>113472</v>
      </c>
      <c r="G28" s="472">
        <v>100</v>
      </c>
      <c r="H28" s="472"/>
      <c r="I28" s="472">
        <f t="shared" si="6"/>
        <v>100</v>
      </c>
      <c r="J28" s="473">
        <f t="shared" si="7"/>
        <v>1</v>
      </c>
      <c r="K28" s="474">
        <f t="shared" si="8"/>
        <v>113472</v>
      </c>
      <c r="L28" s="474">
        <f t="shared" si="9"/>
        <v>0</v>
      </c>
      <c r="M28" s="474">
        <f t="shared" si="10"/>
        <v>113472</v>
      </c>
      <c r="N28" s="609"/>
    </row>
    <row r="29" spans="1:14">
      <c r="A29" s="476"/>
      <c r="B29" s="477" t="s">
        <v>44</v>
      </c>
      <c r="C29" s="478"/>
      <c r="D29" s="479"/>
      <c r="E29" s="480"/>
      <c r="F29" s="481">
        <f>SUM(F18:F28)</f>
        <v>2353959.5</v>
      </c>
      <c r="G29" s="482"/>
      <c r="H29" s="482"/>
      <c r="I29" s="483"/>
      <c r="J29" s="482"/>
      <c r="K29" s="484">
        <f>SUM(K18:K28)</f>
        <v>2353959.5</v>
      </c>
      <c r="L29" s="484">
        <f>SUM(L18:L28)</f>
        <v>0</v>
      </c>
      <c r="M29" s="484">
        <f t="shared" si="10"/>
        <v>2353959.5</v>
      </c>
      <c r="N29" s="609"/>
    </row>
    <row r="30" spans="1:14" ht="24.75">
      <c r="A30" s="495" t="s">
        <v>185</v>
      </c>
      <c r="B30" s="485" t="s">
        <v>364</v>
      </c>
      <c r="C30" s="496"/>
      <c r="D30" s="497"/>
      <c r="E30" s="498"/>
      <c r="F30" s="498"/>
      <c r="G30" s="460"/>
      <c r="H30" s="463"/>
      <c r="I30" s="499"/>
      <c r="J30" s="463"/>
      <c r="K30" s="464"/>
      <c r="L30" s="464"/>
      <c r="M30" s="500"/>
      <c r="N30" s="609"/>
    </row>
    <row r="31" spans="1:14" s="493" customFormat="1" ht="12.75">
      <c r="A31" s="495">
        <v>1</v>
      </c>
      <c r="B31" s="501" t="s">
        <v>365</v>
      </c>
      <c r="C31" s="496"/>
      <c r="D31" s="497"/>
      <c r="E31" s="498"/>
      <c r="F31" s="498"/>
      <c r="G31" s="502"/>
      <c r="H31" s="482"/>
      <c r="I31" s="483"/>
      <c r="J31" s="482"/>
      <c r="K31" s="503"/>
      <c r="L31" s="503"/>
      <c r="M31" s="503"/>
      <c r="N31" s="609"/>
    </row>
    <row r="32" spans="1:14">
      <c r="A32" s="467">
        <v>1.01</v>
      </c>
      <c r="B32" s="68" t="s">
        <v>366</v>
      </c>
      <c r="C32" s="469">
        <v>1630</v>
      </c>
      <c r="D32" s="479" t="s">
        <v>264</v>
      </c>
      <c r="E32" s="488">
        <v>60</v>
      </c>
      <c r="F32" s="488">
        <v>97800</v>
      </c>
      <c r="G32" s="504">
        <v>1630</v>
      </c>
      <c r="H32" s="472"/>
      <c r="I32" s="472">
        <f>G32+H32</f>
        <v>1630</v>
      </c>
      <c r="J32" s="473">
        <f>I32/C32</f>
        <v>1</v>
      </c>
      <c r="K32" s="474">
        <f>G32*E32</f>
        <v>97800</v>
      </c>
      <c r="L32" s="474">
        <f>H32*E32</f>
        <v>0</v>
      </c>
      <c r="M32" s="474">
        <f>K32+L32</f>
        <v>97800</v>
      </c>
      <c r="N32" s="609"/>
    </row>
    <row r="33" spans="1:14" s="493" customFormat="1" ht="12.75">
      <c r="A33" s="476">
        <v>2</v>
      </c>
      <c r="B33" s="485" t="s">
        <v>250</v>
      </c>
      <c r="C33" s="496"/>
      <c r="D33" s="497"/>
      <c r="E33" s="498"/>
      <c r="F33" s="498"/>
      <c r="G33" s="502"/>
      <c r="H33" s="472"/>
      <c r="I33" s="472"/>
      <c r="J33" s="473"/>
      <c r="K33" s="474"/>
      <c r="L33" s="474"/>
      <c r="M33" s="474"/>
      <c r="N33" s="609"/>
    </row>
    <row r="34" spans="1:14">
      <c r="A34" s="467"/>
      <c r="B34" s="68" t="s">
        <v>367</v>
      </c>
      <c r="C34" s="469"/>
      <c r="D34" s="479"/>
      <c r="E34" s="480"/>
      <c r="F34" s="480"/>
      <c r="G34" s="460"/>
      <c r="H34" s="472"/>
      <c r="I34" s="472"/>
      <c r="J34" s="473"/>
      <c r="K34" s="474"/>
      <c r="L34" s="474"/>
      <c r="M34" s="474"/>
      <c r="N34" s="609"/>
    </row>
    <row r="35" spans="1:14">
      <c r="A35" s="467">
        <v>2.0099999999999998</v>
      </c>
      <c r="B35" s="68" t="s">
        <v>368</v>
      </c>
      <c r="C35" s="469">
        <v>1695.2</v>
      </c>
      <c r="D35" s="479" t="s">
        <v>38</v>
      </c>
      <c r="E35" s="505">
        <v>198</v>
      </c>
      <c r="F35" s="488">
        <v>335649.6</v>
      </c>
      <c r="G35" s="460">
        <v>1695.2</v>
      </c>
      <c r="H35" s="472"/>
      <c r="I35" s="472">
        <f t="shared" ref="I35:I46" si="11">G35+H35</f>
        <v>1695.2</v>
      </c>
      <c r="J35" s="473">
        <f t="shared" ref="J35:J46" si="12">I35/C35</f>
        <v>1</v>
      </c>
      <c r="K35" s="474">
        <f t="shared" ref="K35:K46" si="13">G35*E35</f>
        <v>335649.60000000003</v>
      </c>
      <c r="L35" s="474">
        <f t="shared" ref="L35:L46" si="14">H35*E35</f>
        <v>0</v>
      </c>
      <c r="M35" s="474">
        <f t="shared" ref="M35:M46" si="15">K35+L35</f>
        <v>335649.60000000003</v>
      </c>
      <c r="N35" s="609"/>
    </row>
    <row r="36" spans="1:14">
      <c r="A36" s="467">
        <v>2.02</v>
      </c>
      <c r="B36" s="68" t="s">
        <v>369</v>
      </c>
      <c r="C36" s="469">
        <v>130.4</v>
      </c>
      <c r="D36" s="479" t="s">
        <v>38</v>
      </c>
      <c r="E36" s="505">
        <v>940.5</v>
      </c>
      <c r="F36" s="488">
        <v>122641.2</v>
      </c>
      <c r="G36" s="460">
        <v>130.4</v>
      </c>
      <c r="H36" s="472"/>
      <c r="I36" s="472">
        <f t="shared" si="11"/>
        <v>130.4</v>
      </c>
      <c r="J36" s="473">
        <f t="shared" si="12"/>
        <v>1</v>
      </c>
      <c r="K36" s="474">
        <f t="shared" si="13"/>
        <v>122641.20000000001</v>
      </c>
      <c r="L36" s="474">
        <f t="shared" si="14"/>
        <v>0</v>
      </c>
      <c r="M36" s="474">
        <f t="shared" si="15"/>
        <v>122641.20000000001</v>
      </c>
      <c r="N36" s="609"/>
    </row>
    <row r="37" spans="1:14">
      <c r="A37" s="467">
        <v>2.0299999999999998</v>
      </c>
      <c r="B37" s="68" t="s">
        <v>370</v>
      </c>
      <c r="C37" s="469">
        <v>1017.12</v>
      </c>
      <c r="D37" s="479" t="s">
        <v>38</v>
      </c>
      <c r="E37" s="505">
        <v>539.54999999999995</v>
      </c>
      <c r="F37" s="488">
        <v>548787.1</v>
      </c>
      <c r="G37" s="460">
        <v>1017.12</v>
      </c>
      <c r="H37" s="472"/>
      <c r="I37" s="472">
        <f t="shared" si="11"/>
        <v>1017.12</v>
      </c>
      <c r="J37" s="473">
        <f t="shared" si="12"/>
        <v>1</v>
      </c>
      <c r="K37" s="474">
        <f t="shared" si="13"/>
        <v>548787.0959999999</v>
      </c>
      <c r="L37" s="474">
        <f t="shared" si="14"/>
        <v>0</v>
      </c>
      <c r="M37" s="474">
        <f t="shared" si="15"/>
        <v>548787.0959999999</v>
      </c>
      <c r="N37" s="609"/>
    </row>
    <row r="38" spans="1:14">
      <c r="A38" s="467">
        <v>2.04</v>
      </c>
      <c r="B38" s="68" t="s">
        <v>253</v>
      </c>
      <c r="C38" s="469">
        <v>847.6</v>
      </c>
      <c r="D38" s="479" t="s">
        <v>38</v>
      </c>
      <c r="E38" s="505">
        <v>247.5</v>
      </c>
      <c r="F38" s="488">
        <v>209781</v>
      </c>
      <c r="G38" s="463">
        <v>847.6</v>
      </c>
      <c r="H38" s="472"/>
      <c r="I38" s="472">
        <f t="shared" si="11"/>
        <v>847.6</v>
      </c>
      <c r="J38" s="473">
        <f t="shared" si="12"/>
        <v>1</v>
      </c>
      <c r="K38" s="474">
        <f t="shared" si="13"/>
        <v>209781</v>
      </c>
      <c r="L38" s="474">
        <f t="shared" si="14"/>
        <v>0</v>
      </c>
      <c r="M38" s="474">
        <f t="shared" si="15"/>
        <v>209781</v>
      </c>
      <c r="N38" s="609"/>
    </row>
    <row r="39" spans="1:14" ht="24.75">
      <c r="A39" s="467">
        <v>2.0499999999999998</v>
      </c>
      <c r="B39" s="68" t="s">
        <v>371</v>
      </c>
      <c r="C39" s="469">
        <v>508.56</v>
      </c>
      <c r="D39" s="479" t="s">
        <v>38</v>
      </c>
      <c r="E39" s="505">
        <v>762.3</v>
      </c>
      <c r="F39" s="488">
        <v>387675.29</v>
      </c>
      <c r="G39" s="463">
        <v>508.56</v>
      </c>
      <c r="H39" s="472"/>
      <c r="I39" s="472">
        <f t="shared" si="11"/>
        <v>508.56</v>
      </c>
      <c r="J39" s="473">
        <f t="shared" si="12"/>
        <v>1</v>
      </c>
      <c r="K39" s="474">
        <f t="shared" si="13"/>
        <v>387675.288</v>
      </c>
      <c r="L39" s="474">
        <f t="shared" si="14"/>
        <v>0</v>
      </c>
      <c r="M39" s="474">
        <f t="shared" si="15"/>
        <v>387675.288</v>
      </c>
      <c r="N39" s="609"/>
    </row>
    <row r="40" spans="1:14" s="493" customFormat="1" ht="12.75">
      <c r="A40" s="476">
        <v>3</v>
      </c>
      <c r="B40" s="506" t="s">
        <v>372</v>
      </c>
      <c r="C40" s="507"/>
      <c r="D40" s="497"/>
      <c r="E40" s="498"/>
      <c r="F40" s="498"/>
      <c r="G40" s="502"/>
      <c r="H40" s="472"/>
      <c r="I40" s="472"/>
      <c r="J40" s="473"/>
      <c r="K40" s="474"/>
      <c r="L40" s="474"/>
      <c r="M40" s="474"/>
      <c r="N40" s="609"/>
    </row>
    <row r="41" spans="1:14" ht="24">
      <c r="A41" s="467">
        <v>3.01</v>
      </c>
      <c r="B41" s="508" t="s">
        <v>373</v>
      </c>
      <c r="C41" s="469">
        <v>1711.5</v>
      </c>
      <c r="D41" s="479" t="s">
        <v>30</v>
      </c>
      <c r="E41" s="505">
        <v>8508.58</v>
      </c>
      <c r="F41" s="488">
        <v>14562430.178309962</v>
      </c>
      <c r="G41" s="504">
        <v>1711.5</v>
      </c>
      <c r="H41" s="472"/>
      <c r="I41" s="472">
        <f t="shared" si="11"/>
        <v>1711.5</v>
      </c>
      <c r="J41" s="473">
        <f t="shared" si="12"/>
        <v>1</v>
      </c>
      <c r="K41" s="474">
        <f t="shared" si="13"/>
        <v>14562434.67</v>
      </c>
      <c r="L41" s="474">
        <f t="shared" si="14"/>
        <v>0</v>
      </c>
      <c r="M41" s="474">
        <f t="shared" si="15"/>
        <v>14562434.67</v>
      </c>
      <c r="N41" s="609"/>
    </row>
    <row r="42" spans="1:14" s="493" customFormat="1" ht="12.75">
      <c r="A42" s="476">
        <v>4</v>
      </c>
      <c r="B42" s="506" t="s">
        <v>374</v>
      </c>
      <c r="C42" s="496"/>
      <c r="D42" s="497"/>
      <c r="E42" s="498"/>
      <c r="F42" s="498"/>
      <c r="G42" s="502"/>
      <c r="H42" s="482"/>
      <c r="I42" s="483"/>
      <c r="J42" s="482"/>
      <c r="K42" s="503"/>
      <c r="L42" s="503"/>
      <c r="M42" s="503"/>
      <c r="N42" s="609"/>
    </row>
    <row r="43" spans="1:14" ht="24">
      <c r="A43" s="467">
        <v>4.01</v>
      </c>
      <c r="B43" s="508" t="s">
        <v>375</v>
      </c>
      <c r="C43" s="469">
        <f>C32</f>
        <v>1630</v>
      </c>
      <c r="D43" s="479" t="s">
        <v>30</v>
      </c>
      <c r="E43" s="505">
        <v>107</v>
      </c>
      <c r="F43" s="488">
        <f>C43*E43</f>
        <v>174410</v>
      </c>
      <c r="G43" s="460">
        <v>1630</v>
      </c>
      <c r="H43" s="472"/>
      <c r="I43" s="472">
        <f t="shared" ref="I43" si="16">G43+H43</f>
        <v>1630</v>
      </c>
      <c r="J43" s="473">
        <f t="shared" ref="J43" si="17">I43/C43</f>
        <v>1</v>
      </c>
      <c r="K43" s="474">
        <f t="shared" ref="K43" si="18">G43*E43</f>
        <v>174410</v>
      </c>
      <c r="L43" s="474">
        <f t="shared" ref="L43" si="19">H43*E43</f>
        <v>0</v>
      </c>
      <c r="M43" s="474">
        <f t="shared" ref="M43" si="20">K43+L43</f>
        <v>174410</v>
      </c>
      <c r="N43" s="609"/>
    </row>
    <row r="44" spans="1:14" s="493" customFormat="1" ht="12.75">
      <c r="A44" s="476">
        <v>4</v>
      </c>
      <c r="B44" s="506" t="s">
        <v>376</v>
      </c>
      <c r="C44" s="496"/>
      <c r="D44" s="497"/>
      <c r="E44" s="498"/>
      <c r="F44" s="498"/>
      <c r="G44" s="482"/>
      <c r="H44" s="472"/>
      <c r="I44" s="472"/>
      <c r="J44" s="473"/>
      <c r="K44" s="474"/>
      <c r="L44" s="474"/>
      <c r="M44" s="474"/>
      <c r="N44" s="609"/>
    </row>
    <row r="45" spans="1:14">
      <c r="A45" s="467">
        <v>4.01</v>
      </c>
      <c r="B45" s="508" t="s">
        <v>377</v>
      </c>
      <c r="C45" s="469">
        <v>15</v>
      </c>
      <c r="D45" s="479" t="s">
        <v>50</v>
      </c>
      <c r="E45" s="505">
        <v>3819.7368000000001</v>
      </c>
      <c r="F45" s="505">
        <v>57296.05</v>
      </c>
      <c r="G45" s="460">
        <v>15</v>
      </c>
      <c r="H45" s="472"/>
      <c r="I45" s="472">
        <f t="shared" si="11"/>
        <v>15</v>
      </c>
      <c r="J45" s="473">
        <f t="shared" si="12"/>
        <v>1</v>
      </c>
      <c r="K45" s="474">
        <f t="shared" si="13"/>
        <v>57296.052000000003</v>
      </c>
      <c r="L45" s="474">
        <f t="shared" si="14"/>
        <v>0</v>
      </c>
      <c r="M45" s="474">
        <f t="shared" si="15"/>
        <v>57296.052000000003</v>
      </c>
      <c r="N45" s="609"/>
    </row>
    <row r="46" spans="1:14">
      <c r="A46" s="467">
        <v>4.0199999999999996</v>
      </c>
      <c r="B46" s="508" t="s">
        <v>378</v>
      </c>
      <c r="C46" s="469">
        <v>20</v>
      </c>
      <c r="D46" s="479" t="s">
        <v>50</v>
      </c>
      <c r="E46" s="505">
        <v>1420.9679999999998</v>
      </c>
      <c r="F46" s="505">
        <v>28419.360000000001</v>
      </c>
      <c r="G46" s="460">
        <v>20</v>
      </c>
      <c r="H46" s="472"/>
      <c r="I46" s="472">
        <f t="shared" si="11"/>
        <v>20</v>
      </c>
      <c r="J46" s="473">
        <f t="shared" si="12"/>
        <v>1</v>
      </c>
      <c r="K46" s="474">
        <f t="shared" si="13"/>
        <v>28419.359999999997</v>
      </c>
      <c r="L46" s="474">
        <f t="shared" si="14"/>
        <v>0</v>
      </c>
      <c r="M46" s="474">
        <f t="shared" si="15"/>
        <v>28419.359999999997</v>
      </c>
      <c r="N46" s="609"/>
    </row>
    <row r="47" spans="1:14" s="493" customFormat="1" ht="12.75">
      <c r="A47" s="476"/>
      <c r="B47" s="477" t="s">
        <v>44</v>
      </c>
      <c r="C47" s="507"/>
      <c r="D47" s="497"/>
      <c r="E47" s="498"/>
      <c r="F47" s="481">
        <f>SUM(F32:F46)</f>
        <v>16524889.778309962</v>
      </c>
      <c r="G47" s="482"/>
      <c r="H47" s="482"/>
      <c r="I47" s="483"/>
      <c r="J47" s="482"/>
      <c r="K47" s="484">
        <f>SUM(K32:K46)</f>
        <v>16524894.265999999</v>
      </c>
      <c r="L47" s="484">
        <f>SUM(L32:L46)</f>
        <v>0</v>
      </c>
      <c r="M47" s="484">
        <f>SUM(M32:M46)</f>
        <v>16524894.265999999</v>
      </c>
      <c r="N47" s="609"/>
    </row>
    <row r="48" spans="1:14" s="493" customFormat="1" ht="24">
      <c r="A48" s="476" t="s">
        <v>195</v>
      </c>
      <c r="B48" s="506" t="s">
        <v>379</v>
      </c>
      <c r="C48" s="496"/>
      <c r="D48" s="497"/>
      <c r="E48" s="498"/>
      <c r="F48" s="498"/>
      <c r="G48" s="502"/>
      <c r="H48" s="482"/>
      <c r="I48" s="483"/>
      <c r="J48" s="482"/>
      <c r="K48" s="503"/>
      <c r="L48" s="503"/>
      <c r="M48" s="503"/>
      <c r="N48" s="609"/>
    </row>
    <row r="49" spans="1:14" s="493" customFormat="1" ht="12.75">
      <c r="A49" s="476">
        <v>1</v>
      </c>
      <c r="B49" s="506" t="s">
        <v>365</v>
      </c>
      <c r="C49" s="496"/>
      <c r="D49" s="497"/>
      <c r="E49" s="498"/>
      <c r="F49" s="498"/>
      <c r="G49" s="482"/>
      <c r="H49" s="482"/>
      <c r="I49" s="483"/>
      <c r="J49" s="482"/>
      <c r="K49" s="503"/>
      <c r="L49" s="503"/>
      <c r="M49" s="503"/>
      <c r="N49" s="609"/>
    </row>
    <row r="50" spans="1:14">
      <c r="A50" s="467">
        <v>1.01</v>
      </c>
      <c r="B50" s="508" t="s">
        <v>249</v>
      </c>
      <c r="C50" s="469">
        <v>1</v>
      </c>
      <c r="D50" s="479" t="s">
        <v>380</v>
      </c>
      <c r="E50" s="488">
        <v>15000</v>
      </c>
      <c r="F50" s="488">
        <v>15000</v>
      </c>
      <c r="G50" s="460">
        <v>1</v>
      </c>
      <c r="H50" s="472"/>
      <c r="I50" s="472">
        <f t="shared" ref="I50" si="21">G50+H50</f>
        <v>1</v>
      </c>
      <c r="J50" s="473">
        <f t="shared" ref="J50" si="22">I50/C50</f>
        <v>1</v>
      </c>
      <c r="K50" s="474">
        <f t="shared" ref="K50" si="23">G50*E50</f>
        <v>15000</v>
      </c>
      <c r="L50" s="474">
        <f t="shared" ref="L50" si="24">H50*E50</f>
        <v>0</v>
      </c>
      <c r="M50" s="474">
        <f t="shared" ref="M50" si="25">K50+L50</f>
        <v>15000</v>
      </c>
      <c r="N50" s="609"/>
    </row>
    <row r="51" spans="1:14" s="493" customFormat="1" ht="12.75">
      <c r="A51" s="476">
        <v>2</v>
      </c>
      <c r="B51" s="506" t="s">
        <v>381</v>
      </c>
      <c r="C51" s="496"/>
      <c r="D51" s="497"/>
      <c r="E51" s="498"/>
      <c r="F51" s="498"/>
      <c r="G51" s="502"/>
      <c r="H51" s="502"/>
      <c r="I51" s="483"/>
      <c r="J51" s="482"/>
      <c r="K51" s="503"/>
      <c r="L51" s="503"/>
      <c r="M51" s="503"/>
      <c r="N51" s="609"/>
    </row>
    <row r="52" spans="1:14" s="493" customFormat="1" ht="12.75">
      <c r="A52" s="467">
        <v>2.0099999999999998</v>
      </c>
      <c r="B52" s="508" t="s">
        <v>382</v>
      </c>
      <c r="C52" s="469">
        <v>350</v>
      </c>
      <c r="D52" s="479" t="s">
        <v>189</v>
      </c>
      <c r="E52" s="480">
        <v>277.2</v>
      </c>
      <c r="F52" s="488">
        <v>97020</v>
      </c>
      <c r="G52" s="460">
        <v>350</v>
      </c>
      <c r="H52" s="472"/>
      <c r="I52" s="472">
        <f t="shared" ref="I52" si="26">G52+H52</f>
        <v>350</v>
      </c>
      <c r="J52" s="473">
        <f t="shared" ref="J52" si="27">I52/C52</f>
        <v>1</v>
      </c>
      <c r="K52" s="474">
        <f t="shared" ref="K52" si="28">G52*E52</f>
        <v>97020</v>
      </c>
      <c r="L52" s="474">
        <f t="shared" ref="L52" si="29">H52*E52</f>
        <v>0</v>
      </c>
      <c r="M52" s="474">
        <f t="shared" ref="M52" si="30">K52+L52</f>
        <v>97020</v>
      </c>
      <c r="N52" s="609"/>
    </row>
    <row r="53" spans="1:14">
      <c r="A53" s="476">
        <v>3</v>
      </c>
      <c r="B53" s="506" t="s">
        <v>383</v>
      </c>
      <c r="C53" s="496"/>
      <c r="D53" s="497"/>
      <c r="E53" s="498"/>
      <c r="F53" s="498"/>
      <c r="G53" s="463"/>
      <c r="H53" s="463"/>
      <c r="I53" s="499"/>
      <c r="J53" s="463"/>
      <c r="K53" s="464"/>
      <c r="L53" s="464"/>
      <c r="M53" s="464"/>
      <c r="N53" s="609"/>
    </row>
    <row r="54" spans="1:14" ht="24">
      <c r="A54" s="467">
        <v>3.01</v>
      </c>
      <c r="B54" s="508" t="s">
        <v>384</v>
      </c>
      <c r="C54" s="469">
        <v>4</v>
      </c>
      <c r="D54" s="479" t="s">
        <v>50</v>
      </c>
      <c r="E54" s="505">
        <v>115066.24000000001</v>
      </c>
      <c r="F54" s="488">
        <v>460264.96000000002</v>
      </c>
      <c r="G54" s="460">
        <v>4</v>
      </c>
      <c r="H54" s="472"/>
      <c r="I54" s="472">
        <f t="shared" ref="I54:I59" si="31">G54+H54</f>
        <v>4</v>
      </c>
      <c r="J54" s="473">
        <f t="shared" ref="J54:J59" si="32">I54/C54</f>
        <v>1</v>
      </c>
      <c r="K54" s="474">
        <f t="shared" ref="K54:K59" si="33">G54*E54</f>
        <v>460264.96000000002</v>
      </c>
      <c r="L54" s="474">
        <f t="shared" ref="L54:L59" si="34">H54*E54</f>
        <v>0</v>
      </c>
      <c r="M54" s="474">
        <f t="shared" ref="M54:M59" si="35">K54+L54</f>
        <v>460264.96000000002</v>
      </c>
      <c r="N54" s="609"/>
    </row>
    <row r="55" spans="1:14" ht="24">
      <c r="A55" s="489">
        <v>3.02</v>
      </c>
      <c r="B55" s="509" t="s">
        <v>385</v>
      </c>
      <c r="C55" s="490">
        <v>1</v>
      </c>
      <c r="D55" s="479" t="s">
        <v>50</v>
      </c>
      <c r="E55" s="510">
        <v>77516.710000000006</v>
      </c>
      <c r="F55" s="491">
        <v>77516.710000000006</v>
      </c>
      <c r="G55" s="460">
        <v>1</v>
      </c>
      <c r="H55" s="472"/>
      <c r="I55" s="472">
        <f t="shared" si="31"/>
        <v>1</v>
      </c>
      <c r="J55" s="473">
        <f t="shared" si="32"/>
        <v>1</v>
      </c>
      <c r="K55" s="474">
        <f t="shared" si="33"/>
        <v>77516.710000000006</v>
      </c>
      <c r="L55" s="474">
        <f t="shared" si="34"/>
        <v>0</v>
      </c>
      <c r="M55" s="474">
        <f t="shared" si="35"/>
        <v>77516.710000000006</v>
      </c>
      <c r="N55" s="609"/>
    </row>
    <row r="56" spans="1:14">
      <c r="A56" s="467">
        <v>3.03</v>
      </c>
      <c r="B56" s="508" t="s">
        <v>386</v>
      </c>
      <c r="C56" s="469">
        <v>3</v>
      </c>
      <c r="D56" s="479" t="s">
        <v>50</v>
      </c>
      <c r="E56" s="505">
        <v>12090.784935124999</v>
      </c>
      <c r="F56" s="488">
        <v>36272.35</v>
      </c>
      <c r="G56" s="460">
        <v>3</v>
      </c>
      <c r="H56" s="472"/>
      <c r="I56" s="472">
        <f t="shared" si="31"/>
        <v>3</v>
      </c>
      <c r="J56" s="473">
        <f t="shared" si="32"/>
        <v>1</v>
      </c>
      <c r="K56" s="474">
        <f t="shared" si="33"/>
        <v>36272.354805374998</v>
      </c>
      <c r="L56" s="474">
        <f t="shared" si="34"/>
        <v>0</v>
      </c>
      <c r="M56" s="474">
        <f t="shared" si="35"/>
        <v>36272.354805374998</v>
      </c>
      <c r="N56" s="609"/>
    </row>
    <row r="57" spans="1:14">
      <c r="A57" s="467">
        <v>3.04</v>
      </c>
      <c r="B57" s="508" t="s">
        <v>387</v>
      </c>
      <c r="C57" s="469">
        <v>3</v>
      </c>
      <c r="D57" s="479" t="s">
        <v>50</v>
      </c>
      <c r="E57" s="505">
        <v>15493.904935125</v>
      </c>
      <c r="F57" s="488">
        <v>46481.71</v>
      </c>
      <c r="G57" s="460">
        <v>3</v>
      </c>
      <c r="H57" s="472"/>
      <c r="I57" s="472">
        <f t="shared" si="31"/>
        <v>3</v>
      </c>
      <c r="J57" s="473">
        <f t="shared" si="32"/>
        <v>1</v>
      </c>
      <c r="K57" s="474">
        <f t="shared" si="33"/>
        <v>46481.714805374999</v>
      </c>
      <c r="L57" s="474">
        <f t="shared" si="34"/>
        <v>0</v>
      </c>
      <c r="M57" s="474">
        <f t="shared" si="35"/>
        <v>46481.714805374999</v>
      </c>
      <c r="N57" s="609"/>
    </row>
    <row r="58" spans="1:14">
      <c r="A58" s="467">
        <v>3.05</v>
      </c>
      <c r="B58" s="508" t="s">
        <v>388</v>
      </c>
      <c r="C58" s="469">
        <v>2</v>
      </c>
      <c r="D58" s="479" t="s">
        <v>50</v>
      </c>
      <c r="E58" s="505">
        <v>16004.372935125</v>
      </c>
      <c r="F58" s="488">
        <v>32008.75</v>
      </c>
      <c r="G58" s="460">
        <v>2</v>
      </c>
      <c r="H58" s="472"/>
      <c r="I58" s="472">
        <f t="shared" si="31"/>
        <v>2</v>
      </c>
      <c r="J58" s="473">
        <f t="shared" si="32"/>
        <v>1</v>
      </c>
      <c r="K58" s="474">
        <f t="shared" si="33"/>
        <v>32008.745870250001</v>
      </c>
      <c r="L58" s="474">
        <f t="shared" si="34"/>
        <v>0</v>
      </c>
      <c r="M58" s="474">
        <f t="shared" si="35"/>
        <v>32008.745870250001</v>
      </c>
      <c r="N58" s="609"/>
    </row>
    <row r="59" spans="1:14">
      <c r="A59" s="467">
        <v>3.06</v>
      </c>
      <c r="B59" s="508" t="s">
        <v>389</v>
      </c>
      <c r="C59" s="469">
        <v>4</v>
      </c>
      <c r="D59" s="479" t="s">
        <v>50</v>
      </c>
      <c r="E59" s="505">
        <v>32175</v>
      </c>
      <c r="F59" s="505">
        <v>128700</v>
      </c>
      <c r="G59" s="460">
        <v>4</v>
      </c>
      <c r="H59" s="472"/>
      <c r="I59" s="472">
        <f t="shared" si="31"/>
        <v>4</v>
      </c>
      <c r="J59" s="473">
        <f t="shared" si="32"/>
        <v>1</v>
      </c>
      <c r="K59" s="474">
        <f t="shared" si="33"/>
        <v>128700</v>
      </c>
      <c r="L59" s="474">
        <f t="shared" si="34"/>
        <v>0</v>
      </c>
      <c r="M59" s="474">
        <f t="shared" si="35"/>
        <v>128700</v>
      </c>
      <c r="N59" s="609"/>
    </row>
    <row r="60" spans="1:14" s="493" customFormat="1" ht="12.75">
      <c r="A60" s="476">
        <v>4</v>
      </c>
      <c r="B60" s="506" t="s">
        <v>372</v>
      </c>
      <c r="C60" s="507"/>
      <c r="D60" s="497"/>
      <c r="E60" s="498"/>
      <c r="F60" s="498"/>
      <c r="G60" s="502"/>
      <c r="H60" s="482"/>
      <c r="I60" s="483"/>
      <c r="J60" s="482"/>
      <c r="K60" s="503"/>
      <c r="L60" s="503"/>
      <c r="M60" s="503"/>
      <c r="N60" s="609"/>
    </row>
    <row r="61" spans="1:14">
      <c r="A61" s="467">
        <v>4.01</v>
      </c>
      <c r="B61" s="508" t="s">
        <v>390</v>
      </c>
      <c r="C61" s="469">
        <v>12.1</v>
      </c>
      <c r="D61" s="479" t="s">
        <v>264</v>
      </c>
      <c r="E61" s="505">
        <v>6183.5548967622954</v>
      </c>
      <c r="F61" s="505">
        <v>74821.009999999995</v>
      </c>
      <c r="G61" s="460">
        <v>12.1</v>
      </c>
      <c r="H61" s="472"/>
      <c r="I61" s="472">
        <f t="shared" ref="I61" si="36">G61+H61</f>
        <v>12.1</v>
      </c>
      <c r="J61" s="473">
        <f t="shared" ref="J61" si="37">I61/C61</f>
        <v>1</v>
      </c>
      <c r="K61" s="474">
        <f t="shared" ref="K61" si="38">G61*E61</f>
        <v>74821.014250823777</v>
      </c>
      <c r="L61" s="474">
        <f t="shared" ref="L61" si="39">H61*E61</f>
        <v>0</v>
      </c>
      <c r="M61" s="474">
        <f t="shared" ref="M61:M62" si="40">K61+L61</f>
        <v>74821.014250823777</v>
      </c>
      <c r="N61" s="609"/>
    </row>
    <row r="62" spans="1:14" s="493" customFormat="1" ht="12.75">
      <c r="A62" s="476"/>
      <c r="B62" s="477" t="s">
        <v>44</v>
      </c>
      <c r="C62" s="507"/>
      <c r="D62" s="497"/>
      <c r="E62" s="498"/>
      <c r="F62" s="481">
        <f>SUM(F50:F61)</f>
        <v>968085.48999999987</v>
      </c>
      <c r="G62" s="482"/>
      <c r="H62" s="482"/>
      <c r="I62" s="483"/>
      <c r="J62" s="482"/>
      <c r="K62" s="484">
        <f>SUM(K50:K61)</f>
        <v>968085.49973182369</v>
      </c>
      <c r="L62" s="484">
        <f>SUM(L50:L61)</f>
        <v>0</v>
      </c>
      <c r="M62" s="484">
        <f t="shared" si="40"/>
        <v>968085.49973182369</v>
      </c>
      <c r="N62" s="609"/>
    </row>
    <row r="63" spans="1:14" s="493" customFormat="1" ht="24">
      <c r="A63" s="476" t="s">
        <v>203</v>
      </c>
      <c r="B63" s="506" t="s">
        <v>391</v>
      </c>
      <c r="C63" s="496"/>
      <c r="D63" s="497"/>
      <c r="E63" s="498"/>
      <c r="F63" s="498"/>
      <c r="G63" s="482"/>
      <c r="H63" s="482"/>
      <c r="I63" s="483"/>
      <c r="J63" s="482"/>
      <c r="K63" s="503"/>
      <c r="L63" s="503"/>
      <c r="M63" s="503"/>
      <c r="N63" s="609"/>
    </row>
    <row r="64" spans="1:14">
      <c r="A64" s="467">
        <v>1</v>
      </c>
      <c r="B64" s="508" t="s">
        <v>392</v>
      </c>
      <c r="C64" s="469"/>
      <c r="D64" s="479"/>
      <c r="E64" s="480"/>
      <c r="F64" s="480"/>
      <c r="G64" s="460"/>
      <c r="H64" s="463"/>
      <c r="I64" s="499"/>
      <c r="J64" s="463"/>
      <c r="K64" s="464"/>
      <c r="L64" s="464"/>
      <c r="M64" s="464"/>
      <c r="N64" s="609"/>
    </row>
    <row r="65" spans="1:14" s="493" customFormat="1" ht="12.75">
      <c r="A65" s="467">
        <v>1.01</v>
      </c>
      <c r="B65" s="508" t="s">
        <v>249</v>
      </c>
      <c r="C65" s="469">
        <v>1</v>
      </c>
      <c r="D65" s="479" t="s">
        <v>393</v>
      </c>
      <c r="E65" s="488">
        <v>9000</v>
      </c>
      <c r="F65" s="488">
        <v>9000</v>
      </c>
      <c r="G65" s="460">
        <v>1</v>
      </c>
      <c r="H65" s="472"/>
      <c r="I65" s="472">
        <f t="shared" ref="I65:I66" si="41">G65+H65</f>
        <v>1</v>
      </c>
      <c r="J65" s="473">
        <f t="shared" ref="J65:J66" si="42">I65/C65</f>
        <v>1</v>
      </c>
      <c r="K65" s="474">
        <f t="shared" ref="K65:K66" si="43">G65*E65</f>
        <v>9000</v>
      </c>
      <c r="L65" s="474">
        <f t="shared" ref="L65:L66" si="44">H65*E65</f>
        <v>0</v>
      </c>
      <c r="M65" s="474">
        <f t="shared" ref="M65:M66" si="45">K65+L65</f>
        <v>9000</v>
      </c>
      <c r="N65" s="609"/>
    </row>
    <row r="66" spans="1:14">
      <c r="A66" s="467">
        <v>1.02</v>
      </c>
      <c r="B66" s="508" t="s">
        <v>394</v>
      </c>
      <c r="C66" s="469">
        <v>1</v>
      </c>
      <c r="D66" s="479" t="s">
        <v>50</v>
      </c>
      <c r="E66" s="505">
        <v>327237.78999999998</v>
      </c>
      <c r="F66" s="505">
        <v>327237.78999999998</v>
      </c>
      <c r="G66" s="460">
        <v>1</v>
      </c>
      <c r="H66" s="472"/>
      <c r="I66" s="472">
        <f t="shared" si="41"/>
        <v>1</v>
      </c>
      <c r="J66" s="473">
        <f t="shared" si="42"/>
        <v>1</v>
      </c>
      <c r="K66" s="474">
        <f t="shared" si="43"/>
        <v>327237.78999999998</v>
      </c>
      <c r="L66" s="474">
        <f t="shared" si="44"/>
        <v>0</v>
      </c>
      <c r="M66" s="474">
        <f t="shared" si="45"/>
        <v>327237.78999999998</v>
      </c>
      <c r="N66" s="609"/>
    </row>
    <row r="67" spans="1:14">
      <c r="A67" s="511">
        <v>2</v>
      </c>
      <c r="B67" s="506" t="s">
        <v>182</v>
      </c>
      <c r="C67" s="469"/>
      <c r="D67" s="479"/>
      <c r="E67" s="480"/>
      <c r="F67" s="480"/>
      <c r="G67" s="460"/>
      <c r="H67" s="463"/>
      <c r="I67" s="499"/>
      <c r="J67" s="463"/>
      <c r="K67" s="464"/>
      <c r="L67" s="464"/>
      <c r="M67" s="464"/>
      <c r="N67" s="609"/>
    </row>
    <row r="68" spans="1:14">
      <c r="A68" s="489">
        <v>2.0099999999999998</v>
      </c>
      <c r="B68" s="508" t="s">
        <v>395</v>
      </c>
      <c r="C68" s="490">
        <v>65</v>
      </c>
      <c r="D68" s="479" t="s">
        <v>30</v>
      </c>
      <c r="E68" s="510">
        <v>4455</v>
      </c>
      <c r="F68" s="491">
        <v>289575</v>
      </c>
      <c r="G68" s="460">
        <v>65</v>
      </c>
      <c r="H68" s="472"/>
      <c r="I68" s="472">
        <f t="shared" ref="I68:I71" si="46">G68+H68</f>
        <v>65</v>
      </c>
      <c r="J68" s="473">
        <f t="shared" ref="J68:J71" si="47">I68/C68</f>
        <v>1</v>
      </c>
      <c r="K68" s="474">
        <f t="shared" ref="K68:K71" si="48">G68*E68</f>
        <v>289575</v>
      </c>
      <c r="L68" s="474">
        <f t="shared" ref="L68:L71" si="49">H68*E68</f>
        <v>0</v>
      </c>
      <c r="M68" s="474">
        <f t="shared" ref="M68:M71" si="50">K68+L68</f>
        <v>289575</v>
      </c>
      <c r="N68" s="609"/>
    </row>
    <row r="69" spans="1:14">
      <c r="A69" s="467">
        <v>2.02</v>
      </c>
      <c r="B69" s="508" t="s">
        <v>396</v>
      </c>
      <c r="C69" s="469">
        <v>1</v>
      </c>
      <c r="D69" s="479" t="s">
        <v>88</v>
      </c>
      <c r="E69" s="505">
        <v>3960</v>
      </c>
      <c r="F69" s="488">
        <v>3960</v>
      </c>
      <c r="G69" s="460">
        <v>1</v>
      </c>
      <c r="H69" s="460"/>
      <c r="I69" s="472">
        <f t="shared" si="46"/>
        <v>1</v>
      </c>
      <c r="J69" s="473">
        <f t="shared" si="47"/>
        <v>1</v>
      </c>
      <c r="K69" s="474">
        <f t="shared" si="48"/>
        <v>3960</v>
      </c>
      <c r="L69" s="474">
        <f t="shared" si="49"/>
        <v>0</v>
      </c>
      <c r="M69" s="474">
        <f t="shared" si="50"/>
        <v>3960</v>
      </c>
      <c r="N69" s="609"/>
    </row>
    <row r="70" spans="1:14">
      <c r="A70" s="467">
        <v>2.0299999999999998</v>
      </c>
      <c r="B70" s="508" t="s">
        <v>397</v>
      </c>
      <c r="C70" s="469">
        <v>1</v>
      </c>
      <c r="D70" s="479" t="s">
        <v>88</v>
      </c>
      <c r="E70" s="505">
        <v>24474.13</v>
      </c>
      <c r="F70" s="505">
        <v>24474.13</v>
      </c>
      <c r="G70" s="460">
        <v>1</v>
      </c>
      <c r="H70" s="460"/>
      <c r="I70" s="472">
        <f t="shared" si="46"/>
        <v>1</v>
      </c>
      <c r="J70" s="473">
        <f t="shared" si="47"/>
        <v>1</v>
      </c>
      <c r="K70" s="474">
        <f t="shared" si="48"/>
        <v>24474.13</v>
      </c>
      <c r="L70" s="474">
        <f t="shared" si="49"/>
        <v>0</v>
      </c>
      <c r="M70" s="474">
        <f t="shared" si="50"/>
        <v>24474.13</v>
      </c>
      <c r="N70" s="609"/>
    </row>
    <row r="71" spans="1:14" ht="24">
      <c r="A71" s="467">
        <v>2.04</v>
      </c>
      <c r="B71" s="508" t="s">
        <v>398</v>
      </c>
      <c r="C71" s="469">
        <v>1</v>
      </c>
      <c r="D71" s="479" t="s">
        <v>88</v>
      </c>
      <c r="E71" s="505">
        <v>70040.320000000007</v>
      </c>
      <c r="F71" s="505">
        <v>70040.320000000007</v>
      </c>
      <c r="G71" s="460">
        <v>1</v>
      </c>
      <c r="H71" s="460"/>
      <c r="I71" s="472">
        <f t="shared" si="46"/>
        <v>1</v>
      </c>
      <c r="J71" s="473">
        <f t="shared" si="47"/>
        <v>1</v>
      </c>
      <c r="K71" s="474">
        <f t="shared" si="48"/>
        <v>70040.320000000007</v>
      </c>
      <c r="L71" s="474">
        <f t="shared" si="49"/>
        <v>0</v>
      </c>
      <c r="M71" s="474">
        <f t="shared" si="50"/>
        <v>70040.320000000007</v>
      </c>
      <c r="N71" s="609"/>
    </row>
    <row r="72" spans="1:14" s="493" customFormat="1" ht="12.75">
      <c r="A72" s="476">
        <v>3</v>
      </c>
      <c r="B72" s="506" t="s">
        <v>399</v>
      </c>
      <c r="C72" s="496"/>
      <c r="D72" s="497"/>
      <c r="E72" s="498"/>
      <c r="F72" s="498"/>
      <c r="G72" s="502"/>
      <c r="H72" s="482"/>
      <c r="I72" s="483"/>
      <c r="J72" s="482"/>
      <c r="K72" s="503"/>
      <c r="L72" s="503"/>
      <c r="M72" s="503"/>
      <c r="N72" s="609"/>
    </row>
    <row r="73" spans="1:14">
      <c r="A73" s="467">
        <v>3.01</v>
      </c>
      <c r="B73" s="508" t="s">
        <v>37</v>
      </c>
      <c r="C73" s="469">
        <v>978.2</v>
      </c>
      <c r="D73" s="479" t="s">
        <v>38</v>
      </c>
      <c r="E73" s="505">
        <v>198</v>
      </c>
      <c r="F73" s="505">
        <v>193683.6</v>
      </c>
      <c r="G73" s="460">
        <v>978.2</v>
      </c>
      <c r="H73" s="472"/>
      <c r="I73" s="472">
        <f t="shared" ref="I73:I88" si="51">G73+H73</f>
        <v>978.2</v>
      </c>
      <c r="J73" s="473">
        <f t="shared" ref="J73:J88" si="52">I73/C73</f>
        <v>1</v>
      </c>
      <c r="K73" s="474">
        <f t="shared" ref="K73:K88" si="53">G73*E73</f>
        <v>193683.6</v>
      </c>
      <c r="L73" s="474">
        <f t="shared" ref="L73:L88" si="54">H73*E73</f>
        <v>0</v>
      </c>
      <c r="M73" s="474">
        <f t="shared" ref="M73:M88" si="55">K73+L73</f>
        <v>193683.6</v>
      </c>
      <c r="N73" s="609"/>
    </row>
    <row r="74" spans="1:14" ht="24">
      <c r="A74" s="467">
        <v>3.02</v>
      </c>
      <c r="B74" s="508" t="s">
        <v>400</v>
      </c>
      <c r="C74" s="469">
        <v>1271.6600000000001</v>
      </c>
      <c r="D74" s="479" t="s">
        <v>38</v>
      </c>
      <c r="E74" s="505">
        <v>247.5</v>
      </c>
      <c r="F74" s="505">
        <v>314735.85000000003</v>
      </c>
      <c r="G74" s="460">
        <v>1271.6600000000001</v>
      </c>
      <c r="H74" s="472"/>
      <c r="I74" s="472">
        <f t="shared" si="51"/>
        <v>1271.6600000000001</v>
      </c>
      <c r="J74" s="473">
        <f t="shared" si="52"/>
        <v>1</v>
      </c>
      <c r="K74" s="474">
        <f t="shared" si="53"/>
        <v>314735.85000000003</v>
      </c>
      <c r="L74" s="474">
        <f t="shared" si="54"/>
        <v>0</v>
      </c>
      <c r="M74" s="474">
        <f t="shared" si="55"/>
        <v>314735.85000000003</v>
      </c>
      <c r="N74" s="609"/>
    </row>
    <row r="75" spans="1:14" ht="36">
      <c r="A75" s="467">
        <v>3.03</v>
      </c>
      <c r="B75" s="508" t="s">
        <v>401</v>
      </c>
      <c r="C75" s="469">
        <v>18.600000000000001</v>
      </c>
      <c r="D75" s="479" t="s">
        <v>38</v>
      </c>
      <c r="E75" s="505">
        <v>24552.52</v>
      </c>
      <c r="F75" s="505">
        <v>456676.87200000003</v>
      </c>
      <c r="G75" s="460">
        <v>18.600000000000001</v>
      </c>
      <c r="H75" s="472"/>
      <c r="I75" s="472">
        <f t="shared" si="51"/>
        <v>18.600000000000001</v>
      </c>
      <c r="J75" s="473">
        <f t="shared" si="52"/>
        <v>1</v>
      </c>
      <c r="K75" s="474">
        <f t="shared" si="53"/>
        <v>456676.87200000003</v>
      </c>
      <c r="L75" s="474">
        <f t="shared" si="54"/>
        <v>0</v>
      </c>
      <c r="M75" s="474">
        <f t="shared" si="55"/>
        <v>456676.87200000003</v>
      </c>
      <c r="N75" s="609"/>
    </row>
    <row r="76" spans="1:14">
      <c r="A76" s="467">
        <v>3.04</v>
      </c>
      <c r="B76" s="508" t="s">
        <v>402</v>
      </c>
      <c r="C76" s="469">
        <v>0.79</v>
      </c>
      <c r="D76" s="479" t="s">
        <v>38</v>
      </c>
      <c r="E76" s="505">
        <v>18365.16</v>
      </c>
      <c r="F76" s="505">
        <v>14508.476400000001</v>
      </c>
      <c r="G76" s="460">
        <v>0.79</v>
      </c>
      <c r="H76" s="472"/>
      <c r="I76" s="472">
        <f t="shared" si="51"/>
        <v>0.79</v>
      </c>
      <c r="J76" s="473">
        <f t="shared" si="52"/>
        <v>1</v>
      </c>
      <c r="K76" s="474">
        <f t="shared" si="53"/>
        <v>14508.476400000001</v>
      </c>
      <c r="L76" s="474">
        <f t="shared" si="54"/>
        <v>0</v>
      </c>
      <c r="M76" s="474">
        <f t="shared" si="55"/>
        <v>14508.476400000001</v>
      </c>
      <c r="N76" s="609"/>
    </row>
    <row r="77" spans="1:14" ht="24">
      <c r="A77" s="467">
        <v>3.05</v>
      </c>
      <c r="B77" s="508" t="s">
        <v>403</v>
      </c>
      <c r="C77" s="469">
        <v>0.63</v>
      </c>
      <c r="D77" s="479" t="s">
        <v>38</v>
      </c>
      <c r="E77" s="505">
        <v>29027.83</v>
      </c>
      <c r="F77" s="505">
        <v>18287.532900000002</v>
      </c>
      <c r="G77" s="460">
        <v>0.63</v>
      </c>
      <c r="H77" s="472"/>
      <c r="I77" s="472">
        <f t="shared" si="51"/>
        <v>0.63</v>
      </c>
      <c r="J77" s="473">
        <f t="shared" si="52"/>
        <v>1</v>
      </c>
      <c r="K77" s="474">
        <f t="shared" si="53"/>
        <v>18287.532900000002</v>
      </c>
      <c r="L77" s="474">
        <f t="shared" si="54"/>
        <v>0</v>
      </c>
      <c r="M77" s="474">
        <f t="shared" si="55"/>
        <v>18287.532900000002</v>
      </c>
      <c r="N77" s="609"/>
    </row>
    <row r="78" spans="1:14" ht="24">
      <c r="A78" s="467">
        <v>3.06</v>
      </c>
      <c r="B78" s="508" t="s">
        <v>404</v>
      </c>
      <c r="C78" s="469">
        <v>1.9</v>
      </c>
      <c r="D78" s="479" t="s">
        <v>38</v>
      </c>
      <c r="E78" s="505">
        <v>36474.19</v>
      </c>
      <c r="F78" s="505">
        <v>69300.960999999996</v>
      </c>
      <c r="G78" s="460">
        <v>1.9</v>
      </c>
      <c r="H78" s="472"/>
      <c r="I78" s="472">
        <f t="shared" si="51"/>
        <v>1.9</v>
      </c>
      <c r="J78" s="473">
        <f t="shared" si="52"/>
        <v>1</v>
      </c>
      <c r="K78" s="474">
        <f t="shared" si="53"/>
        <v>69300.960999999996</v>
      </c>
      <c r="L78" s="474">
        <f t="shared" si="54"/>
        <v>0</v>
      </c>
      <c r="M78" s="474">
        <f t="shared" si="55"/>
        <v>69300.960999999996</v>
      </c>
      <c r="N78" s="609"/>
    </row>
    <row r="79" spans="1:14" ht="24">
      <c r="A79" s="467">
        <v>3.07</v>
      </c>
      <c r="B79" s="508" t="s">
        <v>405</v>
      </c>
      <c r="C79" s="469">
        <v>4.95</v>
      </c>
      <c r="D79" s="479" t="s">
        <v>38</v>
      </c>
      <c r="E79" s="505">
        <v>36417.410000000003</v>
      </c>
      <c r="F79" s="505">
        <v>180266.17950000003</v>
      </c>
      <c r="G79" s="460">
        <v>4.95</v>
      </c>
      <c r="H79" s="472"/>
      <c r="I79" s="472">
        <f t="shared" si="51"/>
        <v>4.95</v>
      </c>
      <c r="J79" s="473">
        <f t="shared" si="52"/>
        <v>1</v>
      </c>
      <c r="K79" s="474">
        <f t="shared" si="53"/>
        <v>180266.17950000003</v>
      </c>
      <c r="L79" s="474">
        <f t="shared" si="54"/>
        <v>0</v>
      </c>
      <c r="M79" s="474">
        <f t="shared" si="55"/>
        <v>180266.17950000003</v>
      </c>
      <c r="N79" s="609"/>
    </row>
    <row r="80" spans="1:14" s="493" customFormat="1" ht="36">
      <c r="A80" s="467">
        <v>3.08</v>
      </c>
      <c r="B80" s="508" t="s">
        <v>406</v>
      </c>
      <c r="C80" s="469">
        <v>59.960999999999999</v>
      </c>
      <c r="D80" s="479" t="s">
        <v>38</v>
      </c>
      <c r="E80" s="505">
        <v>28116.17</v>
      </c>
      <c r="F80" s="505">
        <v>1685873.6693699998</v>
      </c>
      <c r="G80" s="460">
        <v>59.960999999999999</v>
      </c>
      <c r="H80" s="472"/>
      <c r="I80" s="472">
        <f t="shared" si="51"/>
        <v>59.960999999999999</v>
      </c>
      <c r="J80" s="473">
        <f t="shared" si="52"/>
        <v>1</v>
      </c>
      <c r="K80" s="474">
        <f t="shared" si="53"/>
        <v>1685873.6693699998</v>
      </c>
      <c r="L80" s="474">
        <f t="shared" si="54"/>
        <v>0</v>
      </c>
      <c r="M80" s="474">
        <f t="shared" si="55"/>
        <v>1685873.6693699998</v>
      </c>
      <c r="N80" s="609"/>
    </row>
    <row r="81" spans="1:14" ht="24">
      <c r="A81" s="467">
        <v>3.09</v>
      </c>
      <c r="B81" s="508" t="s">
        <v>407</v>
      </c>
      <c r="C81" s="469">
        <v>28.3</v>
      </c>
      <c r="D81" s="479" t="s">
        <v>38</v>
      </c>
      <c r="E81" s="505">
        <v>28998.11</v>
      </c>
      <c r="F81" s="505">
        <v>820646.51300000004</v>
      </c>
      <c r="G81" s="460">
        <v>28.3</v>
      </c>
      <c r="H81" s="472"/>
      <c r="I81" s="472">
        <f t="shared" si="51"/>
        <v>28.3</v>
      </c>
      <c r="J81" s="473">
        <f t="shared" si="52"/>
        <v>1</v>
      </c>
      <c r="K81" s="474">
        <f t="shared" si="53"/>
        <v>820646.51300000004</v>
      </c>
      <c r="L81" s="474">
        <f t="shared" si="54"/>
        <v>0</v>
      </c>
      <c r="M81" s="474">
        <f t="shared" si="55"/>
        <v>820646.51300000004</v>
      </c>
      <c r="N81" s="609"/>
    </row>
    <row r="82" spans="1:14" s="446" customFormat="1" ht="24">
      <c r="A82" s="512">
        <v>3.1</v>
      </c>
      <c r="B82" s="508" t="s">
        <v>408</v>
      </c>
      <c r="C82" s="469">
        <v>44.18</v>
      </c>
      <c r="D82" s="479" t="s">
        <v>38</v>
      </c>
      <c r="E82" s="505">
        <v>27122.45</v>
      </c>
      <c r="F82" s="505">
        <v>1198269.841</v>
      </c>
      <c r="G82" s="460">
        <v>44.18</v>
      </c>
      <c r="H82" s="472"/>
      <c r="I82" s="472">
        <f t="shared" si="51"/>
        <v>44.18</v>
      </c>
      <c r="J82" s="473">
        <f t="shared" si="52"/>
        <v>1</v>
      </c>
      <c r="K82" s="474">
        <f t="shared" si="53"/>
        <v>1198269.841</v>
      </c>
      <c r="L82" s="474">
        <f t="shared" si="54"/>
        <v>0</v>
      </c>
      <c r="M82" s="474">
        <f t="shared" si="55"/>
        <v>1198269.841</v>
      </c>
      <c r="N82" s="609"/>
    </row>
    <row r="83" spans="1:14">
      <c r="A83" s="467">
        <v>3.11</v>
      </c>
      <c r="B83" s="508" t="s">
        <v>409</v>
      </c>
      <c r="C83" s="469">
        <v>1</v>
      </c>
      <c r="D83" s="479" t="s">
        <v>50</v>
      </c>
      <c r="E83" s="505">
        <v>1136.3800000000001</v>
      </c>
      <c r="F83" s="505">
        <v>1136.3800000000001</v>
      </c>
      <c r="G83" s="460">
        <v>1</v>
      </c>
      <c r="H83" s="472"/>
      <c r="I83" s="472">
        <f t="shared" si="51"/>
        <v>1</v>
      </c>
      <c r="J83" s="473">
        <f t="shared" si="52"/>
        <v>1</v>
      </c>
      <c r="K83" s="474">
        <f t="shared" si="53"/>
        <v>1136.3800000000001</v>
      </c>
      <c r="L83" s="474">
        <f t="shared" si="54"/>
        <v>0</v>
      </c>
      <c r="M83" s="474">
        <f t="shared" si="55"/>
        <v>1136.3800000000001</v>
      </c>
      <c r="N83" s="609"/>
    </row>
    <row r="84" spans="1:14">
      <c r="A84" s="467">
        <v>3.12</v>
      </c>
      <c r="B84" s="508" t="s">
        <v>410</v>
      </c>
      <c r="C84" s="469">
        <v>1</v>
      </c>
      <c r="D84" s="479" t="s">
        <v>50</v>
      </c>
      <c r="E84" s="505">
        <v>26414.32</v>
      </c>
      <c r="F84" s="505">
        <v>26414.32</v>
      </c>
      <c r="G84" s="460">
        <v>1</v>
      </c>
      <c r="H84" s="472"/>
      <c r="I84" s="472">
        <f t="shared" si="51"/>
        <v>1</v>
      </c>
      <c r="J84" s="473">
        <f t="shared" si="52"/>
        <v>1</v>
      </c>
      <c r="K84" s="474">
        <f t="shared" si="53"/>
        <v>26414.32</v>
      </c>
      <c r="L84" s="474">
        <f t="shared" si="54"/>
        <v>0</v>
      </c>
      <c r="M84" s="474">
        <f t="shared" si="55"/>
        <v>26414.32</v>
      </c>
      <c r="N84" s="609"/>
    </row>
    <row r="85" spans="1:14">
      <c r="A85" s="467">
        <v>3.13</v>
      </c>
      <c r="B85" s="508" t="s">
        <v>411</v>
      </c>
      <c r="C85" s="469">
        <v>380.27</v>
      </c>
      <c r="D85" s="479" t="s">
        <v>189</v>
      </c>
      <c r="E85" s="505">
        <v>648.71</v>
      </c>
      <c r="F85" s="505">
        <v>246684.95170000001</v>
      </c>
      <c r="G85" s="460">
        <v>380.27</v>
      </c>
      <c r="H85" s="472"/>
      <c r="I85" s="472">
        <f t="shared" si="51"/>
        <v>380.27</v>
      </c>
      <c r="J85" s="473">
        <f t="shared" si="52"/>
        <v>1</v>
      </c>
      <c r="K85" s="474">
        <f t="shared" si="53"/>
        <v>246684.95170000001</v>
      </c>
      <c r="L85" s="474">
        <f t="shared" si="54"/>
        <v>0</v>
      </c>
      <c r="M85" s="474">
        <f t="shared" si="55"/>
        <v>246684.95170000001</v>
      </c>
      <c r="N85" s="609"/>
    </row>
    <row r="86" spans="1:14">
      <c r="A86" s="467">
        <v>3.13</v>
      </c>
      <c r="B86" s="508" t="s">
        <v>270</v>
      </c>
      <c r="C86" s="469">
        <v>380.27</v>
      </c>
      <c r="D86" s="479" t="s">
        <v>189</v>
      </c>
      <c r="E86" s="505">
        <v>84.69</v>
      </c>
      <c r="F86" s="505">
        <v>32205.066299999999</v>
      </c>
      <c r="G86" s="460">
        <v>380.27</v>
      </c>
      <c r="H86" s="472"/>
      <c r="I86" s="472">
        <f t="shared" si="51"/>
        <v>380.27</v>
      </c>
      <c r="J86" s="473">
        <f t="shared" si="52"/>
        <v>1</v>
      </c>
      <c r="K86" s="474">
        <f t="shared" si="53"/>
        <v>32205.066299999999</v>
      </c>
      <c r="L86" s="474">
        <f t="shared" si="54"/>
        <v>0</v>
      </c>
      <c r="M86" s="474">
        <f t="shared" si="55"/>
        <v>32205.066299999999</v>
      </c>
      <c r="N86" s="609"/>
    </row>
    <row r="87" spans="1:14">
      <c r="A87" s="467">
        <v>3.14</v>
      </c>
      <c r="B87" s="508" t="s">
        <v>412</v>
      </c>
      <c r="C87" s="469">
        <v>55</v>
      </c>
      <c r="D87" s="479" t="s">
        <v>30</v>
      </c>
      <c r="E87" s="505">
        <v>120.86</v>
      </c>
      <c r="F87" s="505">
        <v>6647.3</v>
      </c>
      <c r="G87" s="460">
        <v>55</v>
      </c>
      <c r="H87" s="472"/>
      <c r="I87" s="472">
        <f t="shared" si="51"/>
        <v>55</v>
      </c>
      <c r="J87" s="473">
        <f t="shared" si="52"/>
        <v>1</v>
      </c>
      <c r="K87" s="474">
        <f t="shared" si="53"/>
        <v>6647.3</v>
      </c>
      <c r="L87" s="474">
        <f t="shared" si="54"/>
        <v>0</v>
      </c>
      <c r="M87" s="474">
        <f t="shared" si="55"/>
        <v>6647.3</v>
      </c>
      <c r="N87" s="609"/>
    </row>
    <row r="88" spans="1:14">
      <c r="A88" s="467">
        <v>3.15</v>
      </c>
      <c r="B88" s="508" t="s">
        <v>413</v>
      </c>
      <c r="C88" s="469">
        <v>1</v>
      </c>
      <c r="D88" s="479" t="s">
        <v>32</v>
      </c>
      <c r="E88" s="505">
        <v>7306.25</v>
      </c>
      <c r="F88" s="505">
        <v>7306.25</v>
      </c>
      <c r="G88" s="460">
        <v>1</v>
      </c>
      <c r="H88" s="472"/>
      <c r="I88" s="472">
        <f t="shared" si="51"/>
        <v>1</v>
      </c>
      <c r="J88" s="473">
        <f t="shared" si="52"/>
        <v>1</v>
      </c>
      <c r="K88" s="474">
        <f t="shared" si="53"/>
        <v>7306.25</v>
      </c>
      <c r="L88" s="474">
        <f t="shared" si="54"/>
        <v>0</v>
      </c>
      <c r="M88" s="474">
        <f t="shared" si="55"/>
        <v>7306.25</v>
      </c>
      <c r="N88" s="609"/>
    </row>
    <row r="89" spans="1:14" s="493" customFormat="1" ht="12.75">
      <c r="A89" s="476">
        <v>4</v>
      </c>
      <c r="B89" s="506" t="s">
        <v>414</v>
      </c>
      <c r="C89" s="496"/>
      <c r="D89" s="497"/>
      <c r="E89" s="498"/>
      <c r="F89" s="498"/>
      <c r="G89" s="502"/>
      <c r="H89" s="482"/>
      <c r="I89" s="483"/>
      <c r="J89" s="482"/>
      <c r="K89" s="503"/>
      <c r="L89" s="503"/>
      <c r="M89" s="503"/>
      <c r="N89" s="609"/>
    </row>
    <row r="90" spans="1:14">
      <c r="A90" s="467">
        <v>4.01</v>
      </c>
      <c r="B90" s="508" t="s">
        <v>382</v>
      </c>
      <c r="C90" s="469">
        <v>89.56</v>
      </c>
      <c r="D90" s="479" t="s">
        <v>189</v>
      </c>
      <c r="E90" s="505">
        <v>280</v>
      </c>
      <c r="F90" s="488">
        <v>25076.799999999999</v>
      </c>
      <c r="G90" s="460">
        <v>89.56</v>
      </c>
      <c r="H90" s="472"/>
      <c r="I90" s="472">
        <f t="shared" ref="I90" si="56">G90+H90</f>
        <v>89.56</v>
      </c>
      <c r="J90" s="473">
        <f t="shared" ref="J90" si="57">I90/C90</f>
        <v>1</v>
      </c>
      <c r="K90" s="474">
        <f t="shared" ref="K90" si="58">G90*E90</f>
        <v>25076.799999999999</v>
      </c>
      <c r="L90" s="474">
        <f t="shared" ref="L90" si="59">H90*E90</f>
        <v>0</v>
      </c>
      <c r="M90" s="474">
        <f t="shared" ref="M90" si="60">K90+L90</f>
        <v>25076.799999999999</v>
      </c>
      <c r="N90" s="609"/>
    </row>
    <row r="91" spans="1:14">
      <c r="A91" s="489">
        <v>5</v>
      </c>
      <c r="B91" s="508" t="s">
        <v>383</v>
      </c>
      <c r="C91" s="490"/>
      <c r="D91" s="479"/>
      <c r="E91" s="513"/>
      <c r="F91" s="513"/>
      <c r="G91" s="460"/>
      <c r="H91" s="463"/>
      <c r="I91" s="499"/>
      <c r="J91" s="463"/>
      <c r="K91" s="464"/>
      <c r="L91" s="464"/>
      <c r="M91" s="464"/>
      <c r="N91" s="609"/>
    </row>
    <row r="92" spans="1:14" s="493" customFormat="1" ht="24">
      <c r="A92" s="489">
        <v>5.01</v>
      </c>
      <c r="B92" s="508" t="s">
        <v>415</v>
      </c>
      <c r="C92" s="469">
        <v>2</v>
      </c>
      <c r="D92" s="479" t="s">
        <v>50</v>
      </c>
      <c r="E92" s="505">
        <v>49155.61</v>
      </c>
      <c r="F92" s="488">
        <v>98311.22</v>
      </c>
      <c r="G92" s="460">
        <v>2</v>
      </c>
      <c r="H92" s="472"/>
      <c r="I92" s="472">
        <f t="shared" ref="I92:I99" si="61">G92+H92</f>
        <v>2</v>
      </c>
      <c r="J92" s="473">
        <f t="shared" ref="J92:J99" si="62">I92/C92</f>
        <v>1</v>
      </c>
      <c r="K92" s="474">
        <f t="shared" ref="K92:K99" si="63">G92*E92</f>
        <v>98311.22</v>
      </c>
      <c r="L92" s="474">
        <f t="shared" ref="L92:L99" si="64">H92*E92</f>
        <v>0</v>
      </c>
      <c r="M92" s="474">
        <f t="shared" ref="M92:M100" si="65">K92+L92</f>
        <v>98311.22</v>
      </c>
      <c r="N92" s="609"/>
    </row>
    <row r="93" spans="1:14" ht="24">
      <c r="A93" s="467">
        <v>5.0199999999999996</v>
      </c>
      <c r="B93" s="508" t="s">
        <v>416</v>
      </c>
      <c r="C93" s="469">
        <v>1</v>
      </c>
      <c r="D93" s="479" t="s">
        <v>50</v>
      </c>
      <c r="E93" s="505">
        <v>77516.710000000006</v>
      </c>
      <c r="F93" s="488">
        <v>77516.710000000006</v>
      </c>
      <c r="G93" s="460">
        <v>1</v>
      </c>
      <c r="H93" s="472"/>
      <c r="I93" s="472">
        <f t="shared" si="61"/>
        <v>1</v>
      </c>
      <c r="J93" s="473">
        <f t="shared" si="62"/>
        <v>1</v>
      </c>
      <c r="K93" s="474">
        <f t="shared" si="63"/>
        <v>77516.710000000006</v>
      </c>
      <c r="L93" s="474">
        <f t="shared" si="64"/>
        <v>0</v>
      </c>
      <c r="M93" s="474">
        <f t="shared" si="65"/>
        <v>77516.710000000006</v>
      </c>
      <c r="N93" s="609"/>
    </row>
    <row r="94" spans="1:14" s="515" customFormat="1" ht="24">
      <c r="A94" s="489">
        <v>5.03</v>
      </c>
      <c r="B94" s="508" t="s">
        <v>417</v>
      </c>
      <c r="C94" s="490">
        <v>1</v>
      </c>
      <c r="D94" s="479" t="s">
        <v>50</v>
      </c>
      <c r="E94" s="510">
        <v>115066.24000000001</v>
      </c>
      <c r="F94" s="491">
        <v>115066.24000000001</v>
      </c>
      <c r="G94" s="460">
        <v>1</v>
      </c>
      <c r="H94" s="472"/>
      <c r="I94" s="472">
        <f t="shared" si="61"/>
        <v>1</v>
      </c>
      <c r="J94" s="473">
        <f t="shared" si="62"/>
        <v>1</v>
      </c>
      <c r="K94" s="474">
        <f t="shared" si="63"/>
        <v>115066.24000000001</v>
      </c>
      <c r="L94" s="474">
        <f t="shared" si="64"/>
        <v>0</v>
      </c>
      <c r="M94" s="474">
        <f t="shared" si="65"/>
        <v>115066.24000000001</v>
      </c>
      <c r="N94" s="609"/>
    </row>
    <row r="95" spans="1:14" s="446" customFormat="1" ht="12.75">
      <c r="A95" s="467">
        <v>5.04</v>
      </c>
      <c r="B95" s="508" t="s">
        <v>418</v>
      </c>
      <c r="C95" s="469">
        <v>3</v>
      </c>
      <c r="D95" s="479" t="s">
        <v>50</v>
      </c>
      <c r="E95" s="505">
        <v>5466.2849999999999</v>
      </c>
      <c r="F95" s="488">
        <v>16398.86</v>
      </c>
      <c r="G95" s="460">
        <v>3</v>
      </c>
      <c r="H95" s="472"/>
      <c r="I95" s="472">
        <f t="shared" si="61"/>
        <v>3</v>
      </c>
      <c r="J95" s="473">
        <f t="shared" si="62"/>
        <v>1</v>
      </c>
      <c r="K95" s="474">
        <f t="shared" si="63"/>
        <v>16398.855</v>
      </c>
      <c r="L95" s="474">
        <f t="shared" si="64"/>
        <v>0</v>
      </c>
      <c r="M95" s="474">
        <f t="shared" si="65"/>
        <v>16398.855</v>
      </c>
      <c r="N95" s="609"/>
    </row>
    <row r="96" spans="1:14">
      <c r="A96" s="467">
        <v>5.05</v>
      </c>
      <c r="B96" s="508" t="s">
        <v>419</v>
      </c>
      <c r="C96" s="469">
        <v>3</v>
      </c>
      <c r="D96" s="479" t="s">
        <v>50</v>
      </c>
      <c r="E96" s="505">
        <v>5466.2849999999999</v>
      </c>
      <c r="F96" s="488">
        <v>16398.86</v>
      </c>
      <c r="G96" s="460">
        <v>3</v>
      </c>
      <c r="H96" s="472"/>
      <c r="I96" s="472">
        <f t="shared" si="61"/>
        <v>3</v>
      </c>
      <c r="J96" s="473">
        <f t="shared" si="62"/>
        <v>1</v>
      </c>
      <c r="K96" s="474">
        <f t="shared" si="63"/>
        <v>16398.855</v>
      </c>
      <c r="L96" s="474">
        <f t="shared" si="64"/>
        <v>0</v>
      </c>
      <c r="M96" s="474">
        <f t="shared" si="65"/>
        <v>16398.855</v>
      </c>
      <c r="N96" s="609"/>
    </row>
    <row r="97" spans="1:14">
      <c r="A97" s="467">
        <v>5.0599999999999996</v>
      </c>
      <c r="B97" s="508" t="s">
        <v>420</v>
      </c>
      <c r="C97" s="469">
        <v>2</v>
      </c>
      <c r="D97" s="479" t="s">
        <v>50</v>
      </c>
      <c r="E97" s="505">
        <v>15493.904935125</v>
      </c>
      <c r="F97" s="488">
        <v>30987.81</v>
      </c>
      <c r="G97" s="460">
        <v>2</v>
      </c>
      <c r="H97" s="472"/>
      <c r="I97" s="472">
        <f t="shared" si="61"/>
        <v>2</v>
      </c>
      <c r="J97" s="473">
        <f t="shared" si="62"/>
        <v>1</v>
      </c>
      <c r="K97" s="474">
        <f t="shared" si="63"/>
        <v>30987.809870249999</v>
      </c>
      <c r="L97" s="474">
        <f t="shared" si="64"/>
        <v>0</v>
      </c>
      <c r="M97" s="474">
        <f t="shared" si="65"/>
        <v>30987.809870249999</v>
      </c>
      <c r="N97" s="609"/>
    </row>
    <row r="98" spans="1:14">
      <c r="A98" s="467">
        <v>5.07</v>
      </c>
      <c r="B98" s="508" t="s">
        <v>421</v>
      </c>
      <c r="C98" s="469">
        <v>2</v>
      </c>
      <c r="D98" s="479" t="s">
        <v>50</v>
      </c>
      <c r="E98" s="505">
        <v>11331.648640799998</v>
      </c>
      <c r="F98" s="488">
        <v>22663.3</v>
      </c>
      <c r="G98" s="460">
        <v>2</v>
      </c>
      <c r="H98" s="472"/>
      <c r="I98" s="472">
        <f t="shared" si="61"/>
        <v>2</v>
      </c>
      <c r="J98" s="473">
        <f t="shared" si="62"/>
        <v>1</v>
      </c>
      <c r="K98" s="474">
        <f t="shared" si="63"/>
        <v>22663.297281599996</v>
      </c>
      <c r="L98" s="474">
        <f t="shared" si="64"/>
        <v>0</v>
      </c>
      <c r="M98" s="474">
        <f t="shared" si="65"/>
        <v>22663.297281599996</v>
      </c>
      <c r="N98" s="609"/>
    </row>
    <row r="99" spans="1:14">
      <c r="A99" s="467">
        <v>5.08</v>
      </c>
      <c r="B99" s="508" t="s">
        <v>389</v>
      </c>
      <c r="C99" s="469">
        <v>4</v>
      </c>
      <c r="D99" s="479" t="s">
        <v>50</v>
      </c>
      <c r="E99" s="505">
        <v>32175</v>
      </c>
      <c r="F99" s="505">
        <v>128700</v>
      </c>
      <c r="G99" s="460">
        <v>4</v>
      </c>
      <c r="H99" s="472"/>
      <c r="I99" s="472">
        <f t="shared" si="61"/>
        <v>4</v>
      </c>
      <c r="J99" s="473">
        <f t="shared" si="62"/>
        <v>1</v>
      </c>
      <c r="K99" s="474">
        <f t="shared" si="63"/>
        <v>128700</v>
      </c>
      <c r="L99" s="474">
        <f t="shared" si="64"/>
        <v>0</v>
      </c>
      <c r="M99" s="474">
        <f t="shared" si="65"/>
        <v>128700</v>
      </c>
      <c r="N99" s="609"/>
    </row>
    <row r="100" spans="1:14" s="493" customFormat="1" ht="12.75">
      <c r="A100" s="476"/>
      <c r="B100" s="477" t="s">
        <v>44</v>
      </c>
      <c r="C100" s="507"/>
      <c r="D100" s="497"/>
      <c r="E100" s="498"/>
      <c r="F100" s="481">
        <f>SUM(F65:F99)</f>
        <v>6528050.8031700002</v>
      </c>
      <c r="G100" s="502"/>
      <c r="H100" s="482"/>
      <c r="I100" s="483"/>
      <c r="J100" s="482"/>
      <c r="K100" s="484">
        <f>SUM(K65:K99)</f>
        <v>6528050.7903218502</v>
      </c>
      <c r="L100" s="484">
        <f>SUM(L64:L99)</f>
        <v>0</v>
      </c>
      <c r="M100" s="484">
        <f t="shared" si="65"/>
        <v>6528050.7903218502</v>
      </c>
      <c r="N100" s="609"/>
    </row>
    <row r="101" spans="1:14" s="493" customFormat="1" ht="12.75">
      <c r="A101" s="476" t="s">
        <v>210</v>
      </c>
      <c r="B101" s="506" t="s">
        <v>422</v>
      </c>
      <c r="C101" s="507"/>
      <c r="D101" s="497"/>
      <c r="E101" s="498"/>
      <c r="F101" s="498"/>
      <c r="G101" s="502"/>
      <c r="H101" s="482"/>
      <c r="I101" s="483"/>
      <c r="J101" s="482"/>
      <c r="K101" s="503"/>
      <c r="L101" s="503"/>
      <c r="M101" s="503"/>
      <c r="N101" s="609"/>
    </row>
    <row r="102" spans="1:14" s="493" customFormat="1" ht="12.75">
      <c r="A102" s="457">
        <v>1</v>
      </c>
      <c r="B102" s="516" t="s">
        <v>423</v>
      </c>
      <c r="C102" s="517"/>
      <c r="D102" s="518"/>
      <c r="E102" s="519"/>
      <c r="F102" s="519"/>
      <c r="G102" s="502"/>
      <c r="H102" s="482"/>
      <c r="I102" s="483"/>
      <c r="J102" s="482"/>
      <c r="K102" s="503"/>
      <c r="L102" s="503"/>
      <c r="M102" s="503"/>
      <c r="N102" s="609"/>
    </row>
    <row r="103" spans="1:14" ht="36">
      <c r="A103" s="489">
        <v>1.01</v>
      </c>
      <c r="B103" s="508" t="s">
        <v>424</v>
      </c>
      <c r="C103" s="490">
        <v>3</v>
      </c>
      <c r="D103" s="479" t="s">
        <v>88</v>
      </c>
      <c r="E103" s="491">
        <v>65000</v>
      </c>
      <c r="F103" s="491">
        <v>195000</v>
      </c>
      <c r="G103" s="460">
        <v>3</v>
      </c>
      <c r="H103" s="472"/>
      <c r="I103" s="472">
        <f t="shared" ref="I103:I132" si="66">G103+H103</f>
        <v>3</v>
      </c>
      <c r="J103" s="473">
        <f t="shared" ref="J103:J132" si="67">I103/C103</f>
        <v>1</v>
      </c>
      <c r="K103" s="474">
        <f t="shared" ref="K103:K132" si="68">G103*E103</f>
        <v>195000</v>
      </c>
      <c r="L103" s="474">
        <f t="shared" ref="L103:L132" si="69">H103*E103</f>
        <v>0</v>
      </c>
      <c r="M103" s="474">
        <f t="shared" ref="M103:M132" si="70">K103+L103</f>
        <v>195000</v>
      </c>
      <c r="N103" s="609"/>
    </row>
    <row r="104" spans="1:14" s="493" customFormat="1" ht="12.75">
      <c r="A104" s="489">
        <v>1.02</v>
      </c>
      <c r="B104" s="508" t="s">
        <v>425</v>
      </c>
      <c r="C104" s="469">
        <v>1</v>
      </c>
      <c r="D104" s="479" t="s">
        <v>88</v>
      </c>
      <c r="E104" s="488">
        <v>13365</v>
      </c>
      <c r="F104" s="488">
        <v>13365</v>
      </c>
      <c r="G104" s="460">
        <v>1</v>
      </c>
      <c r="H104" s="472"/>
      <c r="I104" s="472">
        <f t="shared" si="66"/>
        <v>1</v>
      </c>
      <c r="J104" s="473">
        <f t="shared" si="67"/>
        <v>1</v>
      </c>
      <c r="K104" s="474">
        <f t="shared" si="68"/>
        <v>13365</v>
      </c>
      <c r="L104" s="474">
        <f t="shared" si="69"/>
        <v>0</v>
      </c>
      <c r="M104" s="474">
        <f t="shared" si="70"/>
        <v>13365</v>
      </c>
      <c r="N104" s="609"/>
    </row>
    <row r="105" spans="1:14">
      <c r="A105" s="467">
        <v>1.03</v>
      </c>
      <c r="B105" s="508" t="s">
        <v>426</v>
      </c>
      <c r="C105" s="469">
        <v>1</v>
      </c>
      <c r="D105" s="479" t="s">
        <v>427</v>
      </c>
      <c r="E105" s="488">
        <v>19800</v>
      </c>
      <c r="F105" s="488">
        <v>19800</v>
      </c>
      <c r="G105" s="460">
        <v>1</v>
      </c>
      <c r="H105" s="472"/>
      <c r="I105" s="472">
        <f t="shared" si="66"/>
        <v>1</v>
      </c>
      <c r="J105" s="473">
        <f t="shared" si="67"/>
        <v>1</v>
      </c>
      <c r="K105" s="474">
        <f t="shared" si="68"/>
        <v>19800</v>
      </c>
      <c r="L105" s="474">
        <f t="shared" si="69"/>
        <v>0</v>
      </c>
      <c r="M105" s="474">
        <f t="shared" si="70"/>
        <v>19800</v>
      </c>
      <c r="N105" s="609"/>
    </row>
    <row r="106" spans="1:14" s="446" customFormat="1" ht="24">
      <c r="A106" s="467">
        <v>1.04</v>
      </c>
      <c r="B106" s="508" t="s">
        <v>428</v>
      </c>
      <c r="C106" s="469">
        <v>1</v>
      </c>
      <c r="D106" s="479" t="s">
        <v>88</v>
      </c>
      <c r="E106" s="488">
        <v>29700</v>
      </c>
      <c r="F106" s="488">
        <v>29700</v>
      </c>
      <c r="G106" s="460">
        <v>1</v>
      </c>
      <c r="H106" s="472"/>
      <c r="I106" s="472">
        <f t="shared" si="66"/>
        <v>1</v>
      </c>
      <c r="J106" s="473">
        <f t="shared" si="67"/>
        <v>1</v>
      </c>
      <c r="K106" s="474">
        <f t="shared" si="68"/>
        <v>29700</v>
      </c>
      <c r="L106" s="474">
        <f t="shared" si="69"/>
        <v>0</v>
      </c>
      <c r="M106" s="474">
        <f t="shared" si="70"/>
        <v>29700</v>
      </c>
      <c r="N106" s="609"/>
    </row>
    <row r="107" spans="1:14" s="446" customFormat="1" ht="12.75">
      <c r="A107" s="467">
        <v>1.05</v>
      </c>
      <c r="B107" s="508" t="s">
        <v>429</v>
      </c>
      <c r="C107" s="469">
        <v>11</v>
      </c>
      <c r="D107" s="479" t="s">
        <v>427</v>
      </c>
      <c r="E107" s="488">
        <v>29205</v>
      </c>
      <c r="F107" s="488">
        <v>321255</v>
      </c>
      <c r="G107" s="460">
        <v>0</v>
      </c>
      <c r="H107" s="472">
        <v>11</v>
      </c>
      <c r="I107" s="472">
        <f t="shared" si="66"/>
        <v>11</v>
      </c>
      <c r="J107" s="473">
        <f t="shared" si="67"/>
        <v>1</v>
      </c>
      <c r="K107" s="474">
        <f t="shared" si="68"/>
        <v>0</v>
      </c>
      <c r="L107" s="474">
        <f t="shared" si="69"/>
        <v>321255</v>
      </c>
      <c r="M107" s="474">
        <f t="shared" si="70"/>
        <v>321255</v>
      </c>
      <c r="N107" s="609"/>
    </row>
    <row r="108" spans="1:14" s="446" customFormat="1" ht="12.75">
      <c r="A108" s="467">
        <v>1.06</v>
      </c>
      <c r="B108" s="508" t="s">
        <v>430</v>
      </c>
      <c r="C108" s="469">
        <v>2</v>
      </c>
      <c r="D108" s="479" t="s">
        <v>427</v>
      </c>
      <c r="E108" s="488">
        <v>31680</v>
      </c>
      <c r="F108" s="488">
        <v>63360</v>
      </c>
      <c r="G108" s="460">
        <v>2</v>
      </c>
      <c r="H108" s="472"/>
      <c r="I108" s="472">
        <f t="shared" si="66"/>
        <v>2</v>
      </c>
      <c r="J108" s="473">
        <f t="shared" si="67"/>
        <v>1</v>
      </c>
      <c r="K108" s="474">
        <f t="shared" si="68"/>
        <v>63360</v>
      </c>
      <c r="L108" s="474">
        <f t="shared" si="69"/>
        <v>0</v>
      </c>
      <c r="M108" s="474">
        <f t="shared" si="70"/>
        <v>63360</v>
      </c>
      <c r="N108" s="609"/>
    </row>
    <row r="109" spans="1:14">
      <c r="A109" s="467">
        <v>1.07</v>
      </c>
      <c r="B109" s="508" t="s">
        <v>431</v>
      </c>
      <c r="C109" s="469">
        <v>7500</v>
      </c>
      <c r="D109" s="479" t="s">
        <v>432</v>
      </c>
      <c r="E109" s="488">
        <v>69.3</v>
      </c>
      <c r="F109" s="488">
        <v>519750</v>
      </c>
      <c r="G109" s="460">
        <v>0</v>
      </c>
      <c r="H109" s="472">
        <v>7500</v>
      </c>
      <c r="I109" s="472">
        <f t="shared" si="66"/>
        <v>7500</v>
      </c>
      <c r="J109" s="473">
        <f t="shared" si="67"/>
        <v>1</v>
      </c>
      <c r="K109" s="474">
        <f t="shared" si="68"/>
        <v>0</v>
      </c>
      <c r="L109" s="474">
        <f t="shared" si="69"/>
        <v>519750</v>
      </c>
      <c r="M109" s="474">
        <f t="shared" si="70"/>
        <v>519750</v>
      </c>
      <c r="N109" s="609"/>
    </row>
    <row r="110" spans="1:14" s="446" customFormat="1" ht="12.75">
      <c r="A110" s="467">
        <v>1.08</v>
      </c>
      <c r="B110" s="508" t="s">
        <v>433</v>
      </c>
      <c r="C110" s="469">
        <v>4</v>
      </c>
      <c r="D110" s="479" t="s">
        <v>427</v>
      </c>
      <c r="E110" s="488">
        <v>31695.6816</v>
      </c>
      <c r="F110" s="488">
        <v>126782.73</v>
      </c>
      <c r="G110" s="460">
        <v>0</v>
      </c>
      <c r="H110" s="472"/>
      <c r="I110" s="472">
        <f t="shared" si="66"/>
        <v>0</v>
      </c>
      <c r="J110" s="473">
        <f t="shared" si="67"/>
        <v>0</v>
      </c>
      <c r="K110" s="474">
        <f t="shared" si="68"/>
        <v>0</v>
      </c>
      <c r="L110" s="474">
        <f t="shared" si="69"/>
        <v>0</v>
      </c>
      <c r="M110" s="474">
        <f t="shared" si="70"/>
        <v>0</v>
      </c>
      <c r="N110" s="609"/>
    </row>
    <row r="111" spans="1:14" s="446" customFormat="1" ht="12.75">
      <c r="A111" s="467">
        <v>1.0900000000000001</v>
      </c>
      <c r="B111" s="508" t="s">
        <v>434</v>
      </c>
      <c r="C111" s="469">
        <v>1</v>
      </c>
      <c r="D111" s="479" t="s">
        <v>427</v>
      </c>
      <c r="E111" s="488">
        <v>21014.8092</v>
      </c>
      <c r="F111" s="488">
        <v>21014.81</v>
      </c>
      <c r="G111" s="460">
        <v>0</v>
      </c>
      <c r="H111" s="472"/>
      <c r="I111" s="472">
        <f t="shared" si="66"/>
        <v>0</v>
      </c>
      <c r="J111" s="473">
        <f t="shared" si="67"/>
        <v>0</v>
      </c>
      <c r="K111" s="474">
        <f t="shared" si="68"/>
        <v>0</v>
      </c>
      <c r="L111" s="474">
        <f t="shared" si="69"/>
        <v>0</v>
      </c>
      <c r="M111" s="474">
        <f t="shared" si="70"/>
        <v>0</v>
      </c>
      <c r="N111" s="609"/>
    </row>
    <row r="112" spans="1:14">
      <c r="A112" s="512">
        <v>1.1000000000000001</v>
      </c>
      <c r="B112" s="508" t="s">
        <v>435</v>
      </c>
      <c r="C112" s="469">
        <v>9</v>
      </c>
      <c r="D112" s="479" t="s">
        <v>427</v>
      </c>
      <c r="E112" s="488">
        <v>6915.0708000000004</v>
      </c>
      <c r="F112" s="488">
        <v>62235.64</v>
      </c>
      <c r="G112" s="460">
        <v>0</v>
      </c>
      <c r="H112" s="472"/>
      <c r="I112" s="472">
        <f t="shared" si="66"/>
        <v>0</v>
      </c>
      <c r="J112" s="473">
        <f t="shared" si="67"/>
        <v>0</v>
      </c>
      <c r="K112" s="474">
        <f t="shared" si="68"/>
        <v>0</v>
      </c>
      <c r="L112" s="474">
        <f t="shared" si="69"/>
        <v>0</v>
      </c>
      <c r="M112" s="474">
        <f t="shared" si="70"/>
        <v>0</v>
      </c>
      <c r="N112" s="609"/>
    </row>
    <row r="113" spans="1:14">
      <c r="A113" s="467">
        <v>1.1100000000000001</v>
      </c>
      <c r="B113" s="508" t="s">
        <v>436</v>
      </c>
      <c r="C113" s="469">
        <v>1</v>
      </c>
      <c r="D113" s="479" t="s">
        <v>427</v>
      </c>
      <c r="E113" s="488">
        <v>27720</v>
      </c>
      <c r="F113" s="488">
        <v>27720</v>
      </c>
      <c r="G113" s="460">
        <v>0</v>
      </c>
      <c r="H113" s="472"/>
      <c r="I113" s="472">
        <f t="shared" si="66"/>
        <v>0</v>
      </c>
      <c r="J113" s="473">
        <f t="shared" si="67"/>
        <v>0</v>
      </c>
      <c r="K113" s="474">
        <f t="shared" si="68"/>
        <v>0</v>
      </c>
      <c r="L113" s="474">
        <f t="shared" si="69"/>
        <v>0</v>
      </c>
      <c r="M113" s="474">
        <f t="shared" si="70"/>
        <v>0</v>
      </c>
      <c r="N113" s="609"/>
    </row>
    <row r="114" spans="1:14">
      <c r="A114" s="467">
        <v>1.1200000000000001</v>
      </c>
      <c r="B114" s="508" t="s">
        <v>437</v>
      </c>
      <c r="C114" s="469">
        <v>5</v>
      </c>
      <c r="D114" s="479" t="s">
        <v>50</v>
      </c>
      <c r="E114" s="488">
        <v>5657.6025</v>
      </c>
      <c r="F114" s="488">
        <v>28288.01</v>
      </c>
      <c r="G114" s="460">
        <v>0</v>
      </c>
      <c r="H114" s="472"/>
      <c r="I114" s="472">
        <f t="shared" si="66"/>
        <v>0</v>
      </c>
      <c r="J114" s="473">
        <f t="shared" si="67"/>
        <v>0</v>
      </c>
      <c r="K114" s="474">
        <f t="shared" si="68"/>
        <v>0</v>
      </c>
      <c r="L114" s="474">
        <f t="shared" si="69"/>
        <v>0</v>
      </c>
      <c r="M114" s="474">
        <f t="shared" si="70"/>
        <v>0</v>
      </c>
      <c r="N114" s="609"/>
    </row>
    <row r="115" spans="1:14" s="493" customFormat="1" ht="12.75">
      <c r="A115" s="467">
        <v>1.1299999999999999</v>
      </c>
      <c r="B115" s="508" t="s">
        <v>438</v>
      </c>
      <c r="C115" s="469">
        <v>4</v>
      </c>
      <c r="D115" s="479" t="s">
        <v>427</v>
      </c>
      <c r="E115" s="488">
        <v>321.75</v>
      </c>
      <c r="F115" s="488">
        <v>1287</v>
      </c>
      <c r="G115" s="460">
        <v>0</v>
      </c>
      <c r="H115" s="472"/>
      <c r="I115" s="472">
        <f t="shared" si="66"/>
        <v>0</v>
      </c>
      <c r="J115" s="473">
        <f t="shared" si="67"/>
        <v>0</v>
      </c>
      <c r="K115" s="474">
        <f t="shared" si="68"/>
        <v>0</v>
      </c>
      <c r="L115" s="474">
        <f t="shared" si="69"/>
        <v>0</v>
      </c>
      <c r="M115" s="474">
        <f t="shared" si="70"/>
        <v>0</v>
      </c>
      <c r="N115" s="609"/>
    </row>
    <row r="116" spans="1:14" ht="24">
      <c r="A116" s="489">
        <v>1.1399999999999999</v>
      </c>
      <c r="B116" s="508" t="s">
        <v>439</v>
      </c>
      <c r="C116" s="469">
        <v>1</v>
      </c>
      <c r="D116" s="479" t="s">
        <v>427</v>
      </c>
      <c r="E116" s="488">
        <v>34155</v>
      </c>
      <c r="F116" s="488">
        <v>34155</v>
      </c>
      <c r="G116" s="460">
        <v>0</v>
      </c>
      <c r="H116" s="472"/>
      <c r="I116" s="472">
        <f t="shared" si="66"/>
        <v>0</v>
      </c>
      <c r="J116" s="473">
        <f t="shared" si="67"/>
        <v>0</v>
      </c>
      <c r="K116" s="474">
        <f t="shared" si="68"/>
        <v>0</v>
      </c>
      <c r="L116" s="474">
        <f t="shared" si="69"/>
        <v>0</v>
      </c>
      <c r="M116" s="474">
        <f t="shared" si="70"/>
        <v>0</v>
      </c>
      <c r="N116" s="609"/>
    </row>
    <row r="117" spans="1:14" s="446" customFormat="1" ht="12.75">
      <c r="A117" s="467">
        <v>1.1499999999999999</v>
      </c>
      <c r="B117" s="508" t="s">
        <v>440</v>
      </c>
      <c r="C117" s="469">
        <v>6</v>
      </c>
      <c r="D117" s="479" t="s">
        <v>427</v>
      </c>
      <c r="E117" s="488">
        <v>4158</v>
      </c>
      <c r="F117" s="488">
        <v>24948</v>
      </c>
      <c r="G117" s="460">
        <v>0</v>
      </c>
      <c r="H117" s="472"/>
      <c r="I117" s="472">
        <f t="shared" si="66"/>
        <v>0</v>
      </c>
      <c r="J117" s="473">
        <f t="shared" si="67"/>
        <v>0</v>
      </c>
      <c r="K117" s="474">
        <f t="shared" si="68"/>
        <v>0</v>
      </c>
      <c r="L117" s="474">
        <f t="shared" si="69"/>
        <v>0</v>
      </c>
      <c r="M117" s="474">
        <f t="shared" si="70"/>
        <v>0</v>
      </c>
      <c r="N117" s="609"/>
    </row>
    <row r="118" spans="1:14" s="446" customFormat="1" ht="12.75">
      <c r="A118" s="467">
        <v>1.1599999999999999</v>
      </c>
      <c r="B118" s="508" t="s">
        <v>441</v>
      </c>
      <c r="C118" s="469">
        <v>3</v>
      </c>
      <c r="D118" s="479" t="s">
        <v>427</v>
      </c>
      <c r="E118" s="488">
        <v>2277</v>
      </c>
      <c r="F118" s="488">
        <v>6831</v>
      </c>
      <c r="G118" s="460">
        <v>0</v>
      </c>
      <c r="H118" s="472"/>
      <c r="I118" s="472">
        <f t="shared" si="66"/>
        <v>0</v>
      </c>
      <c r="J118" s="473">
        <f t="shared" si="67"/>
        <v>0</v>
      </c>
      <c r="K118" s="474">
        <f t="shared" si="68"/>
        <v>0</v>
      </c>
      <c r="L118" s="474">
        <f t="shared" si="69"/>
        <v>0</v>
      </c>
      <c r="M118" s="474">
        <f t="shared" si="70"/>
        <v>0</v>
      </c>
      <c r="N118" s="609"/>
    </row>
    <row r="119" spans="1:14" s="446" customFormat="1" ht="12.75">
      <c r="A119" s="467">
        <v>1.17</v>
      </c>
      <c r="B119" s="508" t="s">
        <v>442</v>
      </c>
      <c r="C119" s="469">
        <v>6</v>
      </c>
      <c r="D119" s="479" t="s">
        <v>427</v>
      </c>
      <c r="E119" s="488">
        <v>118.8</v>
      </c>
      <c r="F119" s="488">
        <v>712.8</v>
      </c>
      <c r="G119" s="460">
        <v>0</v>
      </c>
      <c r="H119" s="472"/>
      <c r="I119" s="472">
        <f t="shared" si="66"/>
        <v>0</v>
      </c>
      <c r="J119" s="473">
        <f t="shared" si="67"/>
        <v>0</v>
      </c>
      <c r="K119" s="474">
        <f t="shared" si="68"/>
        <v>0</v>
      </c>
      <c r="L119" s="474">
        <f t="shared" si="69"/>
        <v>0</v>
      </c>
      <c r="M119" s="474">
        <f t="shared" si="70"/>
        <v>0</v>
      </c>
      <c r="N119" s="609"/>
    </row>
    <row r="120" spans="1:14" s="446" customFormat="1" ht="12.75">
      <c r="A120" s="467">
        <v>1.18</v>
      </c>
      <c r="B120" s="508" t="s">
        <v>443</v>
      </c>
      <c r="C120" s="469">
        <v>10</v>
      </c>
      <c r="D120" s="479" t="s">
        <v>88</v>
      </c>
      <c r="E120" s="488">
        <v>8008.4862000000003</v>
      </c>
      <c r="F120" s="488">
        <v>80084.86</v>
      </c>
      <c r="G120" s="460">
        <v>0</v>
      </c>
      <c r="H120" s="472"/>
      <c r="I120" s="472">
        <f t="shared" si="66"/>
        <v>0</v>
      </c>
      <c r="J120" s="473">
        <f t="shared" si="67"/>
        <v>0</v>
      </c>
      <c r="K120" s="474">
        <f t="shared" si="68"/>
        <v>0</v>
      </c>
      <c r="L120" s="474">
        <f t="shared" si="69"/>
        <v>0</v>
      </c>
      <c r="M120" s="474">
        <f t="shared" si="70"/>
        <v>0</v>
      </c>
      <c r="N120" s="609"/>
    </row>
    <row r="121" spans="1:14" s="446" customFormat="1" ht="12.75">
      <c r="A121" s="467">
        <v>1.19</v>
      </c>
      <c r="B121" s="508" t="s">
        <v>444</v>
      </c>
      <c r="C121" s="469">
        <v>1</v>
      </c>
      <c r="D121" s="479" t="s">
        <v>427</v>
      </c>
      <c r="E121" s="488">
        <v>693</v>
      </c>
      <c r="F121" s="488">
        <v>693</v>
      </c>
      <c r="G121" s="460">
        <v>0</v>
      </c>
      <c r="H121" s="472"/>
      <c r="I121" s="472">
        <f t="shared" si="66"/>
        <v>0</v>
      </c>
      <c r="J121" s="473">
        <f t="shared" si="67"/>
        <v>0</v>
      </c>
      <c r="K121" s="474">
        <f t="shared" si="68"/>
        <v>0</v>
      </c>
      <c r="L121" s="474">
        <f t="shared" si="69"/>
        <v>0</v>
      </c>
      <c r="M121" s="474">
        <f t="shared" si="70"/>
        <v>0</v>
      </c>
      <c r="N121" s="609"/>
    </row>
    <row r="122" spans="1:14" s="446" customFormat="1" ht="12.75">
      <c r="A122" s="512">
        <v>1.2</v>
      </c>
      <c r="B122" s="508" t="s">
        <v>445</v>
      </c>
      <c r="C122" s="469">
        <v>40</v>
      </c>
      <c r="D122" s="479" t="s">
        <v>427</v>
      </c>
      <c r="E122" s="488">
        <v>89.1</v>
      </c>
      <c r="F122" s="488">
        <v>3564</v>
      </c>
      <c r="G122" s="460">
        <v>0</v>
      </c>
      <c r="H122" s="472"/>
      <c r="I122" s="472">
        <f t="shared" si="66"/>
        <v>0</v>
      </c>
      <c r="J122" s="473">
        <f t="shared" si="67"/>
        <v>0</v>
      </c>
      <c r="K122" s="474">
        <f t="shared" si="68"/>
        <v>0</v>
      </c>
      <c r="L122" s="474">
        <f t="shared" si="69"/>
        <v>0</v>
      </c>
      <c r="M122" s="474">
        <f t="shared" si="70"/>
        <v>0</v>
      </c>
      <c r="N122" s="609"/>
    </row>
    <row r="123" spans="1:14" s="446" customFormat="1" ht="12.75">
      <c r="A123" s="467">
        <v>1.21</v>
      </c>
      <c r="B123" s="508" t="s">
        <v>446</v>
      </c>
      <c r="C123" s="469">
        <v>2</v>
      </c>
      <c r="D123" s="479" t="s">
        <v>427</v>
      </c>
      <c r="E123" s="488">
        <v>4455</v>
      </c>
      <c r="F123" s="488">
        <v>8910</v>
      </c>
      <c r="G123" s="460">
        <v>0</v>
      </c>
      <c r="H123" s="472"/>
      <c r="I123" s="472">
        <f t="shared" si="66"/>
        <v>0</v>
      </c>
      <c r="J123" s="473">
        <f t="shared" si="67"/>
        <v>0</v>
      </c>
      <c r="K123" s="474">
        <f t="shared" si="68"/>
        <v>0</v>
      </c>
      <c r="L123" s="474">
        <f t="shared" si="69"/>
        <v>0</v>
      </c>
      <c r="M123" s="474">
        <f t="shared" si="70"/>
        <v>0</v>
      </c>
      <c r="N123" s="609"/>
    </row>
    <row r="124" spans="1:14" s="446" customFormat="1" ht="12.75">
      <c r="A124" s="467">
        <v>1.22</v>
      </c>
      <c r="B124" s="508" t="s">
        <v>447</v>
      </c>
      <c r="C124" s="469">
        <v>1</v>
      </c>
      <c r="D124" s="479" t="s">
        <v>427</v>
      </c>
      <c r="E124" s="488">
        <v>1485</v>
      </c>
      <c r="F124" s="488">
        <v>1485</v>
      </c>
      <c r="G124" s="460">
        <v>0</v>
      </c>
      <c r="H124" s="472"/>
      <c r="I124" s="472">
        <f t="shared" si="66"/>
        <v>0</v>
      </c>
      <c r="J124" s="473">
        <f t="shared" si="67"/>
        <v>0</v>
      </c>
      <c r="K124" s="474">
        <f t="shared" si="68"/>
        <v>0</v>
      </c>
      <c r="L124" s="474">
        <f t="shared" si="69"/>
        <v>0</v>
      </c>
      <c r="M124" s="474">
        <f t="shared" si="70"/>
        <v>0</v>
      </c>
      <c r="N124" s="609"/>
    </row>
    <row r="125" spans="1:14" s="446" customFormat="1" ht="12.75">
      <c r="A125" s="467">
        <v>1.23</v>
      </c>
      <c r="B125" s="508" t="s">
        <v>448</v>
      </c>
      <c r="C125" s="469">
        <v>2</v>
      </c>
      <c r="D125" s="479" t="s">
        <v>427</v>
      </c>
      <c r="E125" s="488">
        <v>1188</v>
      </c>
      <c r="F125" s="488">
        <v>2376</v>
      </c>
      <c r="G125" s="460">
        <v>0</v>
      </c>
      <c r="H125" s="472"/>
      <c r="I125" s="472">
        <f t="shared" si="66"/>
        <v>0</v>
      </c>
      <c r="J125" s="473">
        <f t="shared" si="67"/>
        <v>0</v>
      </c>
      <c r="K125" s="474">
        <f t="shared" si="68"/>
        <v>0</v>
      </c>
      <c r="L125" s="474">
        <f t="shared" si="69"/>
        <v>0</v>
      </c>
      <c r="M125" s="474">
        <f t="shared" si="70"/>
        <v>0</v>
      </c>
      <c r="N125" s="609"/>
    </row>
    <row r="126" spans="1:14" s="446" customFormat="1" ht="12.75">
      <c r="A126" s="467">
        <v>1.24</v>
      </c>
      <c r="B126" s="508" t="s">
        <v>449</v>
      </c>
      <c r="C126" s="469">
        <v>21.6</v>
      </c>
      <c r="D126" s="479" t="s">
        <v>38</v>
      </c>
      <c r="E126" s="488">
        <v>321.75</v>
      </c>
      <c r="F126" s="488">
        <v>6949.8</v>
      </c>
      <c r="G126" s="460">
        <v>0</v>
      </c>
      <c r="H126" s="472"/>
      <c r="I126" s="472">
        <f t="shared" si="66"/>
        <v>0</v>
      </c>
      <c r="J126" s="473">
        <f t="shared" si="67"/>
        <v>0</v>
      </c>
      <c r="K126" s="474">
        <f t="shared" si="68"/>
        <v>0</v>
      </c>
      <c r="L126" s="474">
        <f t="shared" si="69"/>
        <v>0</v>
      </c>
      <c r="M126" s="474">
        <f t="shared" si="70"/>
        <v>0</v>
      </c>
      <c r="N126" s="609"/>
    </row>
    <row r="127" spans="1:14" s="446" customFormat="1" ht="12.75">
      <c r="A127" s="467">
        <v>1.25</v>
      </c>
      <c r="B127" s="508" t="s">
        <v>450</v>
      </c>
      <c r="C127" s="469">
        <v>28</v>
      </c>
      <c r="D127" s="479" t="s">
        <v>38</v>
      </c>
      <c r="E127" s="488">
        <v>173.25</v>
      </c>
      <c r="F127" s="488">
        <v>4851</v>
      </c>
      <c r="G127" s="460">
        <v>0</v>
      </c>
      <c r="H127" s="472"/>
      <c r="I127" s="472">
        <f t="shared" si="66"/>
        <v>0</v>
      </c>
      <c r="J127" s="473">
        <f t="shared" si="67"/>
        <v>0</v>
      </c>
      <c r="K127" s="474">
        <f t="shared" si="68"/>
        <v>0</v>
      </c>
      <c r="L127" s="474">
        <f t="shared" si="69"/>
        <v>0</v>
      </c>
      <c r="M127" s="474">
        <f t="shared" si="70"/>
        <v>0</v>
      </c>
      <c r="N127" s="609"/>
    </row>
    <row r="128" spans="1:14" s="446" customFormat="1" ht="12.75">
      <c r="A128" s="467">
        <v>1.26</v>
      </c>
      <c r="B128" s="508" t="s">
        <v>451</v>
      </c>
      <c r="C128" s="469">
        <v>16</v>
      </c>
      <c r="D128" s="479" t="s">
        <v>427</v>
      </c>
      <c r="E128" s="488">
        <v>693</v>
      </c>
      <c r="F128" s="488">
        <v>11088</v>
      </c>
      <c r="G128" s="460">
        <v>0</v>
      </c>
      <c r="H128" s="472"/>
      <c r="I128" s="472">
        <f t="shared" si="66"/>
        <v>0</v>
      </c>
      <c r="J128" s="473">
        <f t="shared" si="67"/>
        <v>0</v>
      </c>
      <c r="K128" s="474">
        <f t="shared" si="68"/>
        <v>0</v>
      </c>
      <c r="L128" s="474">
        <f t="shared" si="69"/>
        <v>0</v>
      </c>
      <c r="M128" s="474">
        <f t="shared" si="70"/>
        <v>0</v>
      </c>
      <c r="N128" s="609"/>
    </row>
    <row r="129" spans="1:14" s="446" customFormat="1" ht="12.75">
      <c r="A129" s="467">
        <v>1.27</v>
      </c>
      <c r="B129" s="508" t="s">
        <v>452</v>
      </c>
      <c r="C129" s="469">
        <v>3</v>
      </c>
      <c r="D129" s="479" t="s">
        <v>427</v>
      </c>
      <c r="E129" s="488">
        <v>34.65</v>
      </c>
      <c r="F129" s="488">
        <v>103.95</v>
      </c>
      <c r="G129" s="460">
        <v>0</v>
      </c>
      <c r="H129" s="472"/>
      <c r="I129" s="472">
        <f t="shared" si="66"/>
        <v>0</v>
      </c>
      <c r="J129" s="473">
        <f t="shared" si="67"/>
        <v>0</v>
      </c>
      <c r="K129" s="474">
        <f t="shared" si="68"/>
        <v>0</v>
      </c>
      <c r="L129" s="474">
        <f t="shared" si="69"/>
        <v>0</v>
      </c>
      <c r="M129" s="474">
        <f t="shared" si="70"/>
        <v>0</v>
      </c>
      <c r="N129" s="609"/>
    </row>
    <row r="130" spans="1:14" s="446" customFormat="1" ht="12.75">
      <c r="A130" s="467">
        <v>1.28</v>
      </c>
      <c r="B130" s="508" t="s">
        <v>453</v>
      </c>
      <c r="C130" s="469">
        <v>13</v>
      </c>
      <c r="D130" s="479" t="s">
        <v>50</v>
      </c>
      <c r="E130" s="488">
        <v>1485</v>
      </c>
      <c r="F130" s="488">
        <v>19305</v>
      </c>
      <c r="G130" s="460">
        <v>0</v>
      </c>
      <c r="H130" s="472"/>
      <c r="I130" s="472">
        <f t="shared" si="66"/>
        <v>0</v>
      </c>
      <c r="J130" s="473">
        <f t="shared" si="67"/>
        <v>0</v>
      </c>
      <c r="K130" s="474">
        <f t="shared" si="68"/>
        <v>0</v>
      </c>
      <c r="L130" s="474">
        <f t="shared" si="69"/>
        <v>0</v>
      </c>
      <c r="M130" s="474">
        <f t="shared" si="70"/>
        <v>0</v>
      </c>
      <c r="N130" s="609"/>
    </row>
    <row r="131" spans="1:14" s="446" customFormat="1" ht="12.75">
      <c r="A131" s="467">
        <v>1.29</v>
      </c>
      <c r="B131" s="508" t="s">
        <v>454</v>
      </c>
      <c r="C131" s="469">
        <v>1</v>
      </c>
      <c r="D131" s="479" t="s">
        <v>455</v>
      </c>
      <c r="E131" s="488">
        <v>4455</v>
      </c>
      <c r="F131" s="488">
        <v>4455</v>
      </c>
      <c r="G131" s="460">
        <v>0</v>
      </c>
      <c r="H131" s="472"/>
      <c r="I131" s="472">
        <f t="shared" si="66"/>
        <v>0</v>
      </c>
      <c r="J131" s="473">
        <f t="shared" si="67"/>
        <v>0</v>
      </c>
      <c r="K131" s="474">
        <f t="shared" si="68"/>
        <v>0</v>
      </c>
      <c r="L131" s="474">
        <f t="shared" si="69"/>
        <v>0</v>
      </c>
      <c r="M131" s="474">
        <f t="shared" si="70"/>
        <v>0</v>
      </c>
      <c r="N131" s="609"/>
    </row>
    <row r="132" spans="1:14" s="446" customFormat="1" ht="12.75">
      <c r="A132" s="512">
        <v>1.3</v>
      </c>
      <c r="B132" s="508" t="s">
        <v>456</v>
      </c>
      <c r="C132" s="469">
        <v>1</v>
      </c>
      <c r="D132" s="479" t="s">
        <v>455</v>
      </c>
      <c r="E132" s="488">
        <v>231660</v>
      </c>
      <c r="F132" s="488">
        <v>231660</v>
      </c>
      <c r="G132" s="460">
        <v>0</v>
      </c>
      <c r="H132" s="472"/>
      <c r="I132" s="472">
        <f t="shared" si="66"/>
        <v>0</v>
      </c>
      <c r="J132" s="473">
        <f t="shared" si="67"/>
        <v>0</v>
      </c>
      <c r="K132" s="474">
        <f t="shared" si="68"/>
        <v>0</v>
      </c>
      <c r="L132" s="474">
        <f t="shared" si="69"/>
        <v>0</v>
      </c>
      <c r="M132" s="474">
        <f t="shared" si="70"/>
        <v>0</v>
      </c>
      <c r="N132" s="609"/>
    </row>
    <row r="133" spans="1:14">
      <c r="A133" s="520"/>
      <c r="B133" s="506" t="s">
        <v>457</v>
      </c>
      <c r="C133" s="507"/>
      <c r="D133" s="497"/>
      <c r="E133" s="498"/>
      <c r="F133" s="481">
        <f>SUM(F103:F132)</f>
        <v>1871730.6</v>
      </c>
      <c r="G133" s="504"/>
      <c r="H133" s="463"/>
      <c r="I133" s="499"/>
      <c r="J133" s="463"/>
      <c r="K133" s="484"/>
      <c r="L133" s="484"/>
      <c r="M133" s="484">
        <f>K133+L133</f>
        <v>0</v>
      </c>
      <c r="N133" s="609"/>
    </row>
    <row r="134" spans="1:14" s="446" customFormat="1" ht="24">
      <c r="A134" s="512">
        <v>2.0099999999999998</v>
      </c>
      <c r="B134" s="508" t="s">
        <v>458</v>
      </c>
      <c r="C134" s="469">
        <v>1</v>
      </c>
      <c r="D134" s="479" t="s">
        <v>50</v>
      </c>
      <c r="E134" s="488">
        <v>696200</v>
      </c>
      <c r="F134" s="488">
        <v>696200</v>
      </c>
      <c r="G134" s="460">
        <v>0</v>
      </c>
      <c r="H134" s="472">
        <v>0</v>
      </c>
      <c r="I134" s="472">
        <f t="shared" ref="I134:I148" si="71">G134+H134</f>
        <v>0</v>
      </c>
      <c r="J134" s="473">
        <f t="shared" ref="J134:J148" si="72">I134/C134</f>
        <v>0</v>
      </c>
      <c r="K134" s="474">
        <f t="shared" ref="K134:K148" si="73">G134*E134</f>
        <v>0</v>
      </c>
      <c r="L134" s="474">
        <f t="shared" ref="L134:L148" si="74">H134*E134</f>
        <v>0</v>
      </c>
      <c r="M134" s="474">
        <f t="shared" ref="M134:M148" si="75">K134+L134</f>
        <v>0</v>
      </c>
      <c r="N134" s="609"/>
    </row>
    <row r="135" spans="1:14">
      <c r="A135" s="512">
        <v>2.02</v>
      </c>
      <c r="B135" s="508" t="s">
        <v>459</v>
      </c>
      <c r="C135" s="469">
        <v>4</v>
      </c>
      <c r="D135" s="479" t="s">
        <v>427</v>
      </c>
      <c r="E135" s="488">
        <v>6064.04</v>
      </c>
      <c r="F135" s="488">
        <v>24256.16</v>
      </c>
      <c r="G135" s="504">
        <v>0</v>
      </c>
      <c r="H135" s="472"/>
      <c r="I135" s="472">
        <f t="shared" si="71"/>
        <v>0</v>
      </c>
      <c r="J135" s="473">
        <f t="shared" si="72"/>
        <v>0</v>
      </c>
      <c r="K135" s="474">
        <f t="shared" si="73"/>
        <v>0</v>
      </c>
      <c r="L135" s="474">
        <f t="shared" si="74"/>
        <v>0</v>
      </c>
      <c r="M135" s="474">
        <f t="shared" si="75"/>
        <v>0</v>
      </c>
      <c r="N135" s="609"/>
    </row>
    <row r="136" spans="1:14" s="446" customFormat="1" ht="12.75">
      <c r="A136" s="512">
        <v>2.0299999999999998</v>
      </c>
      <c r="B136" s="508" t="s">
        <v>460</v>
      </c>
      <c r="C136" s="469">
        <v>2</v>
      </c>
      <c r="D136" s="479" t="s">
        <v>427</v>
      </c>
      <c r="E136" s="488">
        <v>3133.65</v>
      </c>
      <c r="F136" s="488">
        <v>6267.3</v>
      </c>
      <c r="G136" s="504">
        <v>0</v>
      </c>
      <c r="H136" s="472"/>
      <c r="I136" s="472">
        <f t="shared" si="71"/>
        <v>0</v>
      </c>
      <c r="J136" s="473">
        <f t="shared" si="72"/>
        <v>0</v>
      </c>
      <c r="K136" s="474">
        <f t="shared" si="73"/>
        <v>0</v>
      </c>
      <c r="L136" s="474">
        <f t="shared" si="74"/>
        <v>0</v>
      </c>
      <c r="M136" s="474">
        <f t="shared" si="75"/>
        <v>0</v>
      </c>
      <c r="N136" s="609"/>
    </row>
    <row r="137" spans="1:14" s="446" customFormat="1" ht="24">
      <c r="A137" s="512">
        <v>2.04</v>
      </c>
      <c r="B137" s="508" t="s">
        <v>461</v>
      </c>
      <c r="C137" s="469">
        <v>1</v>
      </c>
      <c r="D137" s="479" t="s">
        <v>427</v>
      </c>
      <c r="E137" s="488">
        <v>99488.31</v>
      </c>
      <c r="F137" s="488">
        <v>99488.31</v>
      </c>
      <c r="G137" s="504">
        <v>0</v>
      </c>
      <c r="H137" s="472"/>
      <c r="I137" s="472">
        <f t="shared" si="71"/>
        <v>0</v>
      </c>
      <c r="J137" s="473">
        <f t="shared" si="72"/>
        <v>0</v>
      </c>
      <c r="K137" s="474">
        <f t="shared" si="73"/>
        <v>0</v>
      </c>
      <c r="L137" s="474">
        <f t="shared" si="74"/>
        <v>0</v>
      </c>
      <c r="M137" s="474">
        <f t="shared" si="75"/>
        <v>0</v>
      </c>
      <c r="N137" s="609"/>
    </row>
    <row r="138" spans="1:14" s="446" customFormat="1" ht="12.75">
      <c r="A138" s="512">
        <v>2.0499999999999998</v>
      </c>
      <c r="B138" s="508" t="s">
        <v>462</v>
      </c>
      <c r="C138" s="469">
        <v>1</v>
      </c>
      <c r="D138" s="479" t="s">
        <v>427</v>
      </c>
      <c r="E138" s="488">
        <v>25932.58</v>
      </c>
      <c r="F138" s="488">
        <v>25932.58</v>
      </c>
      <c r="G138" s="460">
        <v>0</v>
      </c>
      <c r="H138" s="472"/>
      <c r="I138" s="472">
        <f t="shared" si="71"/>
        <v>0</v>
      </c>
      <c r="J138" s="473">
        <f t="shared" si="72"/>
        <v>0</v>
      </c>
      <c r="K138" s="474">
        <f t="shared" si="73"/>
        <v>0</v>
      </c>
      <c r="L138" s="474">
        <f t="shared" si="74"/>
        <v>0</v>
      </c>
      <c r="M138" s="474">
        <f t="shared" si="75"/>
        <v>0</v>
      </c>
      <c r="N138" s="609"/>
    </row>
    <row r="139" spans="1:14" s="446" customFormat="1" ht="12.75">
      <c r="A139" s="512">
        <v>2.06</v>
      </c>
      <c r="B139" s="508" t="s">
        <v>463</v>
      </c>
      <c r="C139" s="469">
        <v>1</v>
      </c>
      <c r="D139" s="479" t="s">
        <v>427</v>
      </c>
      <c r="E139" s="488">
        <v>99488.31</v>
      </c>
      <c r="F139" s="488">
        <v>99488.31</v>
      </c>
      <c r="G139" s="460">
        <v>0</v>
      </c>
      <c r="H139" s="472"/>
      <c r="I139" s="472">
        <f t="shared" si="71"/>
        <v>0</v>
      </c>
      <c r="J139" s="473">
        <f t="shared" si="72"/>
        <v>0</v>
      </c>
      <c r="K139" s="474">
        <f t="shared" si="73"/>
        <v>0</v>
      </c>
      <c r="L139" s="474">
        <f t="shared" si="74"/>
        <v>0</v>
      </c>
      <c r="M139" s="474">
        <f t="shared" si="75"/>
        <v>0</v>
      </c>
      <c r="N139" s="609"/>
    </row>
    <row r="140" spans="1:14" s="446" customFormat="1" ht="12.75">
      <c r="A140" s="467">
        <v>2.0699999999999998</v>
      </c>
      <c r="B140" s="508" t="s">
        <v>464</v>
      </c>
      <c r="C140" s="469">
        <v>40</v>
      </c>
      <c r="D140" s="479" t="s">
        <v>427</v>
      </c>
      <c r="E140" s="505">
        <v>222.75</v>
      </c>
      <c r="F140" s="505">
        <v>8910</v>
      </c>
      <c r="G140" s="460">
        <v>0</v>
      </c>
      <c r="H140" s="472"/>
      <c r="I140" s="472">
        <f t="shared" si="71"/>
        <v>0</v>
      </c>
      <c r="J140" s="473">
        <f t="shared" si="72"/>
        <v>0</v>
      </c>
      <c r="K140" s="474">
        <f t="shared" si="73"/>
        <v>0</v>
      </c>
      <c r="L140" s="474">
        <f t="shared" si="74"/>
        <v>0</v>
      </c>
      <c r="M140" s="474">
        <f t="shared" si="75"/>
        <v>0</v>
      </c>
      <c r="N140" s="609"/>
    </row>
    <row r="141" spans="1:14" s="446" customFormat="1" ht="12.75">
      <c r="A141" s="467">
        <v>2.08</v>
      </c>
      <c r="B141" s="508" t="s">
        <v>465</v>
      </c>
      <c r="C141" s="469">
        <v>1</v>
      </c>
      <c r="D141" s="479" t="s">
        <v>427</v>
      </c>
      <c r="E141" s="505">
        <v>18058.169999999998</v>
      </c>
      <c r="F141" s="505">
        <v>18058.169999999998</v>
      </c>
      <c r="G141" s="460">
        <v>0</v>
      </c>
      <c r="H141" s="472"/>
      <c r="I141" s="472">
        <f t="shared" si="71"/>
        <v>0</v>
      </c>
      <c r="J141" s="473">
        <f t="shared" si="72"/>
        <v>0</v>
      </c>
      <c r="K141" s="474">
        <f t="shared" si="73"/>
        <v>0</v>
      </c>
      <c r="L141" s="474">
        <f t="shared" si="74"/>
        <v>0</v>
      </c>
      <c r="M141" s="474">
        <f t="shared" si="75"/>
        <v>0</v>
      </c>
      <c r="N141" s="609"/>
    </row>
    <row r="142" spans="1:14" s="446" customFormat="1" ht="24">
      <c r="A142" s="467">
        <v>2.09</v>
      </c>
      <c r="B142" s="508" t="s">
        <v>466</v>
      </c>
      <c r="C142" s="469">
        <v>1</v>
      </c>
      <c r="D142" s="479" t="s">
        <v>427</v>
      </c>
      <c r="E142" s="505">
        <v>11798.66</v>
      </c>
      <c r="F142" s="505">
        <v>11798.66</v>
      </c>
      <c r="G142" s="460">
        <v>0</v>
      </c>
      <c r="H142" s="472"/>
      <c r="I142" s="472">
        <f t="shared" si="71"/>
        <v>0</v>
      </c>
      <c r="J142" s="473">
        <f t="shared" si="72"/>
        <v>0</v>
      </c>
      <c r="K142" s="474">
        <f t="shared" si="73"/>
        <v>0</v>
      </c>
      <c r="L142" s="474">
        <f t="shared" si="74"/>
        <v>0</v>
      </c>
      <c r="M142" s="474">
        <f t="shared" si="75"/>
        <v>0</v>
      </c>
      <c r="N142" s="609"/>
    </row>
    <row r="143" spans="1:14" s="446" customFormat="1" ht="12.75">
      <c r="A143" s="512">
        <v>2.1</v>
      </c>
      <c r="B143" s="508" t="s">
        <v>467</v>
      </c>
      <c r="C143" s="469">
        <v>2</v>
      </c>
      <c r="D143" s="479" t="s">
        <v>427</v>
      </c>
      <c r="E143" s="505">
        <v>29658.687896199997</v>
      </c>
      <c r="F143" s="505">
        <v>59317.38</v>
      </c>
      <c r="G143" s="460">
        <v>0</v>
      </c>
      <c r="H143" s="472"/>
      <c r="I143" s="472">
        <f t="shared" si="71"/>
        <v>0</v>
      </c>
      <c r="J143" s="473">
        <f t="shared" si="72"/>
        <v>0</v>
      </c>
      <c r="K143" s="474">
        <f t="shared" si="73"/>
        <v>0</v>
      </c>
      <c r="L143" s="474">
        <f t="shared" si="74"/>
        <v>0</v>
      </c>
      <c r="M143" s="474">
        <f t="shared" si="75"/>
        <v>0</v>
      </c>
      <c r="N143" s="609"/>
    </row>
    <row r="144" spans="1:14" s="446" customFormat="1" ht="12.75">
      <c r="A144" s="467">
        <v>2.11</v>
      </c>
      <c r="B144" s="508" t="s">
        <v>468</v>
      </c>
      <c r="C144" s="469">
        <v>8</v>
      </c>
      <c r="D144" s="479" t="s">
        <v>427</v>
      </c>
      <c r="E144" s="505">
        <v>148.5</v>
      </c>
      <c r="F144" s="505">
        <v>1188</v>
      </c>
      <c r="G144" s="460">
        <v>0</v>
      </c>
      <c r="H144" s="472"/>
      <c r="I144" s="472">
        <f t="shared" si="71"/>
        <v>0</v>
      </c>
      <c r="J144" s="473">
        <f t="shared" si="72"/>
        <v>0</v>
      </c>
      <c r="K144" s="474">
        <f t="shared" si="73"/>
        <v>0</v>
      </c>
      <c r="L144" s="474">
        <f t="shared" si="74"/>
        <v>0</v>
      </c>
      <c r="M144" s="474">
        <f t="shared" si="75"/>
        <v>0</v>
      </c>
      <c r="N144" s="609"/>
    </row>
    <row r="145" spans="1:14" s="446" customFormat="1" ht="24">
      <c r="A145" s="467">
        <v>2.12</v>
      </c>
      <c r="B145" s="508" t="s">
        <v>469</v>
      </c>
      <c r="C145" s="469">
        <v>0.5</v>
      </c>
      <c r="D145" s="479" t="s">
        <v>427</v>
      </c>
      <c r="E145" s="505">
        <v>6283.1762811999997</v>
      </c>
      <c r="F145" s="505">
        <v>3141.59</v>
      </c>
      <c r="G145" s="460">
        <v>0</v>
      </c>
      <c r="H145" s="472"/>
      <c r="I145" s="472">
        <f t="shared" si="71"/>
        <v>0</v>
      </c>
      <c r="J145" s="473">
        <f t="shared" si="72"/>
        <v>0</v>
      </c>
      <c r="K145" s="474">
        <f t="shared" si="73"/>
        <v>0</v>
      </c>
      <c r="L145" s="474">
        <f t="shared" si="74"/>
        <v>0</v>
      </c>
      <c r="M145" s="474">
        <f t="shared" si="75"/>
        <v>0</v>
      </c>
      <c r="N145" s="609"/>
    </row>
    <row r="146" spans="1:14" s="446" customFormat="1" ht="12.75">
      <c r="A146" s="467">
        <v>2.13</v>
      </c>
      <c r="B146" s="508" t="s">
        <v>470</v>
      </c>
      <c r="C146" s="469">
        <v>1</v>
      </c>
      <c r="D146" s="479" t="s">
        <v>427</v>
      </c>
      <c r="E146" s="505">
        <v>2772</v>
      </c>
      <c r="F146" s="505">
        <v>2772</v>
      </c>
      <c r="G146" s="460">
        <v>0</v>
      </c>
      <c r="H146" s="472"/>
      <c r="I146" s="472">
        <f t="shared" si="71"/>
        <v>0</v>
      </c>
      <c r="J146" s="473">
        <f t="shared" si="72"/>
        <v>0</v>
      </c>
      <c r="K146" s="474">
        <f t="shared" si="73"/>
        <v>0</v>
      </c>
      <c r="L146" s="474">
        <f t="shared" si="74"/>
        <v>0</v>
      </c>
      <c r="M146" s="474">
        <f t="shared" si="75"/>
        <v>0</v>
      </c>
      <c r="N146" s="609"/>
    </row>
    <row r="147" spans="1:14" s="446" customFormat="1" ht="12.75">
      <c r="A147" s="467">
        <v>2.14</v>
      </c>
      <c r="B147" s="508" t="s">
        <v>456</v>
      </c>
      <c r="C147" s="469">
        <v>1</v>
      </c>
      <c r="D147" s="479" t="s">
        <v>88</v>
      </c>
      <c r="E147" s="505">
        <v>222750</v>
      </c>
      <c r="F147" s="505">
        <v>222750</v>
      </c>
      <c r="G147" s="460">
        <v>0</v>
      </c>
      <c r="H147" s="472"/>
      <c r="I147" s="472">
        <f t="shared" si="71"/>
        <v>0</v>
      </c>
      <c r="J147" s="473">
        <f t="shared" si="72"/>
        <v>0</v>
      </c>
      <c r="K147" s="474">
        <f t="shared" si="73"/>
        <v>0</v>
      </c>
      <c r="L147" s="474">
        <f t="shared" si="74"/>
        <v>0</v>
      </c>
      <c r="M147" s="474">
        <f t="shared" si="75"/>
        <v>0</v>
      </c>
      <c r="N147" s="609"/>
    </row>
    <row r="148" spans="1:14" s="446" customFormat="1" ht="12.75">
      <c r="A148" s="467">
        <v>2.15</v>
      </c>
      <c r="B148" s="508" t="s">
        <v>471</v>
      </c>
      <c r="C148" s="469">
        <v>200</v>
      </c>
      <c r="D148" s="479" t="s">
        <v>432</v>
      </c>
      <c r="E148" s="505">
        <v>338.91660000000002</v>
      </c>
      <c r="F148" s="505">
        <v>67783.320000000007</v>
      </c>
      <c r="G148" s="460">
        <v>0</v>
      </c>
      <c r="H148" s="472"/>
      <c r="I148" s="472">
        <f t="shared" si="71"/>
        <v>0</v>
      </c>
      <c r="J148" s="473">
        <f t="shared" si="72"/>
        <v>0</v>
      </c>
      <c r="K148" s="474">
        <f t="shared" si="73"/>
        <v>0</v>
      </c>
      <c r="L148" s="474">
        <f t="shared" si="74"/>
        <v>0</v>
      </c>
      <c r="M148" s="474">
        <f t="shared" si="75"/>
        <v>0</v>
      </c>
      <c r="N148" s="609"/>
    </row>
    <row r="149" spans="1:14">
      <c r="A149" s="476">
        <v>3</v>
      </c>
      <c r="B149" s="506" t="s">
        <v>472</v>
      </c>
      <c r="C149" s="507"/>
      <c r="D149" s="497"/>
      <c r="E149" s="498"/>
      <c r="F149" s="498"/>
      <c r="G149" s="460"/>
      <c r="H149" s="463"/>
      <c r="I149" s="521"/>
      <c r="J149" s="463"/>
      <c r="K149" s="522"/>
      <c r="L149" s="465"/>
      <c r="M149" s="465"/>
      <c r="N149" s="609"/>
    </row>
    <row r="150" spans="1:14" s="446" customFormat="1" ht="24">
      <c r="A150" s="467">
        <v>3.01</v>
      </c>
      <c r="B150" s="508" t="s">
        <v>473</v>
      </c>
      <c r="C150" s="469">
        <v>1</v>
      </c>
      <c r="D150" s="479" t="s">
        <v>50</v>
      </c>
      <c r="E150" s="505">
        <v>383500</v>
      </c>
      <c r="F150" s="505">
        <v>383500</v>
      </c>
      <c r="G150" s="460">
        <v>1</v>
      </c>
      <c r="H150" s="472"/>
      <c r="I150" s="472">
        <f t="shared" ref="I150:I164" si="76">G150+H150</f>
        <v>1</v>
      </c>
      <c r="J150" s="473">
        <f t="shared" ref="J150:J164" si="77">I150/C150</f>
        <v>1</v>
      </c>
      <c r="K150" s="474">
        <f t="shared" ref="K150:K164" si="78">G150*E150</f>
        <v>383500</v>
      </c>
      <c r="L150" s="474">
        <f t="shared" ref="L150:L164" si="79">H150*E150</f>
        <v>0</v>
      </c>
      <c r="M150" s="474">
        <f t="shared" ref="M150:M165" si="80">K150+L150</f>
        <v>383500</v>
      </c>
      <c r="N150" s="609"/>
    </row>
    <row r="151" spans="1:14" s="446" customFormat="1" ht="12.75">
      <c r="A151" s="467">
        <v>3.02</v>
      </c>
      <c r="B151" s="508" t="s">
        <v>474</v>
      </c>
      <c r="C151" s="469">
        <v>4</v>
      </c>
      <c r="D151" s="479" t="s">
        <v>427</v>
      </c>
      <c r="E151" s="505">
        <v>5485.84</v>
      </c>
      <c r="F151" s="505">
        <v>21943.360000000001</v>
      </c>
      <c r="G151" s="460">
        <v>0</v>
      </c>
      <c r="H151" s="472"/>
      <c r="I151" s="472">
        <f t="shared" si="76"/>
        <v>0</v>
      </c>
      <c r="J151" s="473">
        <f t="shared" si="77"/>
        <v>0</v>
      </c>
      <c r="K151" s="474">
        <f t="shared" si="78"/>
        <v>0</v>
      </c>
      <c r="L151" s="474">
        <f t="shared" si="79"/>
        <v>0</v>
      </c>
      <c r="M151" s="474">
        <f t="shared" si="80"/>
        <v>0</v>
      </c>
      <c r="N151" s="609"/>
    </row>
    <row r="152" spans="1:14" s="446" customFormat="1" ht="12.75">
      <c r="A152" s="467">
        <v>3.03</v>
      </c>
      <c r="B152" s="508" t="s">
        <v>460</v>
      </c>
      <c r="C152" s="469">
        <v>2</v>
      </c>
      <c r="D152" s="479" t="s">
        <v>427</v>
      </c>
      <c r="E152" s="505">
        <v>3133.65</v>
      </c>
      <c r="F152" s="505">
        <v>6267.3</v>
      </c>
      <c r="G152" s="460">
        <v>0</v>
      </c>
      <c r="H152" s="472"/>
      <c r="I152" s="472">
        <f t="shared" si="76"/>
        <v>0</v>
      </c>
      <c r="J152" s="473">
        <f t="shared" si="77"/>
        <v>0</v>
      </c>
      <c r="K152" s="474">
        <f t="shared" si="78"/>
        <v>0</v>
      </c>
      <c r="L152" s="474">
        <f t="shared" si="79"/>
        <v>0</v>
      </c>
      <c r="M152" s="474">
        <f t="shared" si="80"/>
        <v>0</v>
      </c>
      <c r="N152" s="609"/>
    </row>
    <row r="153" spans="1:14" s="446" customFormat="1" ht="24">
      <c r="A153" s="467">
        <v>3.04</v>
      </c>
      <c r="B153" s="508" t="s">
        <v>475</v>
      </c>
      <c r="C153" s="469">
        <v>1</v>
      </c>
      <c r="D153" s="479" t="s">
        <v>427</v>
      </c>
      <c r="E153" s="505">
        <v>54081.440000000002</v>
      </c>
      <c r="F153" s="505">
        <v>54081.440000000002</v>
      </c>
      <c r="G153" s="460">
        <v>0</v>
      </c>
      <c r="H153" s="472"/>
      <c r="I153" s="472">
        <f t="shared" si="76"/>
        <v>0</v>
      </c>
      <c r="J153" s="473">
        <f t="shared" si="77"/>
        <v>0</v>
      </c>
      <c r="K153" s="474">
        <f t="shared" si="78"/>
        <v>0</v>
      </c>
      <c r="L153" s="474">
        <f t="shared" si="79"/>
        <v>0</v>
      </c>
      <c r="M153" s="474">
        <f t="shared" si="80"/>
        <v>0</v>
      </c>
      <c r="N153" s="609"/>
    </row>
    <row r="154" spans="1:14" s="446" customFormat="1" ht="12.75">
      <c r="A154" s="467">
        <v>3.05</v>
      </c>
      <c r="B154" s="508" t="s">
        <v>462</v>
      </c>
      <c r="C154" s="469">
        <v>1</v>
      </c>
      <c r="D154" s="479" t="s">
        <v>427</v>
      </c>
      <c r="E154" s="505">
        <v>25932.58</v>
      </c>
      <c r="F154" s="505">
        <v>25932.58</v>
      </c>
      <c r="G154" s="463">
        <v>0</v>
      </c>
      <c r="H154" s="472"/>
      <c r="I154" s="472">
        <f t="shared" si="76"/>
        <v>0</v>
      </c>
      <c r="J154" s="473">
        <f t="shared" si="77"/>
        <v>0</v>
      </c>
      <c r="K154" s="474">
        <f t="shared" si="78"/>
        <v>0</v>
      </c>
      <c r="L154" s="474">
        <f t="shared" si="79"/>
        <v>0</v>
      </c>
      <c r="M154" s="474">
        <f t="shared" si="80"/>
        <v>0</v>
      </c>
      <c r="N154" s="609"/>
    </row>
    <row r="155" spans="1:14" s="446" customFormat="1" ht="12.75">
      <c r="A155" s="467">
        <v>3.06</v>
      </c>
      <c r="B155" s="508" t="s">
        <v>476</v>
      </c>
      <c r="C155" s="469">
        <v>1</v>
      </c>
      <c r="D155" s="479" t="s">
        <v>427</v>
      </c>
      <c r="E155" s="505">
        <v>49951.44</v>
      </c>
      <c r="F155" s="505">
        <v>49951.44</v>
      </c>
      <c r="G155" s="463">
        <v>0</v>
      </c>
      <c r="H155" s="472"/>
      <c r="I155" s="472">
        <f t="shared" si="76"/>
        <v>0</v>
      </c>
      <c r="J155" s="473">
        <f t="shared" si="77"/>
        <v>0</v>
      </c>
      <c r="K155" s="474">
        <f t="shared" si="78"/>
        <v>0</v>
      </c>
      <c r="L155" s="474">
        <f t="shared" si="79"/>
        <v>0</v>
      </c>
      <c r="M155" s="474">
        <f t="shared" si="80"/>
        <v>0</v>
      </c>
      <c r="N155" s="609"/>
    </row>
    <row r="156" spans="1:14" s="446" customFormat="1" ht="12.75">
      <c r="A156" s="467">
        <v>3.07</v>
      </c>
      <c r="B156" s="508" t="s">
        <v>464</v>
      </c>
      <c r="C156" s="469">
        <v>40</v>
      </c>
      <c r="D156" s="479" t="s">
        <v>427</v>
      </c>
      <c r="E156" s="523">
        <v>222.75</v>
      </c>
      <c r="F156" s="488">
        <v>8910</v>
      </c>
      <c r="G156" s="463">
        <v>0</v>
      </c>
      <c r="H156" s="472"/>
      <c r="I156" s="472">
        <f t="shared" si="76"/>
        <v>0</v>
      </c>
      <c r="J156" s="473">
        <f t="shared" si="77"/>
        <v>0</v>
      </c>
      <c r="K156" s="474">
        <f t="shared" si="78"/>
        <v>0</v>
      </c>
      <c r="L156" s="474">
        <f t="shared" si="79"/>
        <v>0</v>
      </c>
      <c r="M156" s="474">
        <f t="shared" si="80"/>
        <v>0</v>
      </c>
      <c r="N156" s="609"/>
    </row>
    <row r="157" spans="1:14" s="446" customFormat="1" ht="12.75">
      <c r="A157" s="467">
        <v>3.08</v>
      </c>
      <c r="B157" s="508" t="s">
        <v>477</v>
      </c>
      <c r="C157" s="469">
        <v>1</v>
      </c>
      <c r="D157" s="479" t="s">
        <v>427</v>
      </c>
      <c r="E157" s="523">
        <v>16559.57</v>
      </c>
      <c r="F157" s="488">
        <v>16559.57</v>
      </c>
      <c r="G157" s="463">
        <v>0</v>
      </c>
      <c r="H157" s="472"/>
      <c r="I157" s="472">
        <f t="shared" si="76"/>
        <v>0</v>
      </c>
      <c r="J157" s="473">
        <f t="shared" si="77"/>
        <v>0</v>
      </c>
      <c r="K157" s="474">
        <f t="shared" si="78"/>
        <v>0</v>
      </c>
      <c r="L157" s="474">
        <f t="shared" si="79"/>
        <v>0</v>
      </c>
      <c r="M157" s="474">
        <f t="shared" si="80"/>
        <v>0</v>
      </c>
      <c r="N157" s="609"/>
    </row>
    <row r="158" spans="1:14" s="446" customFormat="1" ht="24">
      <c r="A158" s="467">
        <v>3.09</v>
      </c>
      <c r="B158" s="508" t="s">
        <v>478</v>
      </c>
      <c r="C158" s="469">
        <v>1</v>
      </c>
      <c r="D158" s="479" t="s">
        <v>427</v>
      </c>
      <c r="E158" s="523">
        <v>8704.4500000000007</v>
      </c>
      <c r="F158" s="488">
        <v>8704.4500000000007</v>
      </c>
      <c r="G158" s="460">
        <v>0</v>
      </c>
      <c r="H158" s="472"/>
      <c r="I158" s="472">
        <f t="shared" si="76"/>
        <v>0</v>
      </c>
      <c r="J158" s="473">
        <f t="shared" si="77"/>
        <v>0</v>
      </c>
      <c r="K158" s="474">
        <f t="shared" si="78"/>
        <v>0</v>
      </c>
      <c r="L158" s="474">
        <f t="shared" si="79"/>
        <v>0</v>
      </c>
      <c r="M158" s="474">
        <f t="shared" si="80"/>
        <v>0</v>
      </c>
      <c r="N158" s="609"/>
    </row>
    <row r="159" spans="1:14" s="446" customFormat="1" ht="12.75">
      <c r="A159" s="512">
        <v>3.1</v>
      </c>
      <c r="B159" s="508" t="s">
        <v>479</v>
      </c>
      <c r="C159" s="469">
        <v>0.35</v>
      </c>
      <c r="D159" s="479" t="s">
        <v>427</v>
      </c>
      <c r="E159" s="523">
        <v>19782.939925857143</v>
      </c>
      <c r="F159" s="488">
        <v>6924.03</v>
      </c>
      <c r="G159" s="460">
        <v>0</v>
      </c>
      <c r="H159" s="472"/>
      <c r="I159" s="472">
        <f t="shared" si="76"/>
        <v>0</v>
      </c>
      <c r="J159" s="473">
        <f t="shared" si="77"/>
        <v>0</v>
      </c>
      <c r="K159" s="474">
        <f t="shared" si="78"/>
        <v>0</v>
      </c>
      <c r="L159" s="474">
        <f t="shared" si="79"/>
        <v>0</v>
      </c>
      <c r="M159" s="474">
        <f t="shared" si="80"/>
        <v>0</v>
      </c>
      <c r="N159" s="609"/>
    </row>
    <row r="160" spans="1:14" s="446" customFormat="1" ht="12.75">
      <c r="A160" s="467">
        <v>3.11</v>
      </c>
      <c r="B160" s="508" t="s">
        <v>468</v>
      </c>
      <c r="C160" s="469">
        <v>8</v>
      </c>
      <c r="D160" s="479" t="s">
        <v>427</v>
      </c>
      <c r="E160" s="505">
        <v>148.5</v>
      </c>
      <c r="F160" s="505">
        <v>1188</v>
      </c>
      <c r="G160" s="460">
        <v>0</v>
      </c>
      <c r="H160" s="472"/>
      <c r="I160" s="472">
        <f t="shared" si="76"/>
        <v>0</v>
      </c>
      <c r="J160" s="473">
        <f t="shared" si="77"/>
        <v>0</v>
      </c>
      <c r="K160" s="474">
        <f t="shared" si="78"/>
        <v>0</v>
      </c>
      <c r="L160" s="474">
        <f t="shared" si="79"/>
        <v>0</v>
      </c>
      <c r="M160" s="474">
        <f t="shared" si="80"/>
        <v>0</v>
      </c>
      <c r="N160" s="609"/>
    </row>
    <row r="161" spans="1:14" s="446" customFormat="1" ht="24">
      <c r="A161" s="467">
        <v>3.12</v>
      </c>
      <c r="B161" s="508" t="s">
        <v>469</v>
      </c>
      <c r="C161" s="469">
        <v>0.5</v>
      </c>
      <c r="D161" s="479" t="s">
        <v>427</v>
      </c>
      <c r="E161" s="505">
        <v>6283.1762811999997</v>
      </c>
      <c r="F161" s="505">
        <v>3141.59</v>
      </c>
      <c r="G161" s="460">
        <v>0</v>
      </c>
      <c r="H161" s="472"/>
      <c r="I161" s="472">
        <f t="shared" si="76"/>
        <v>0</v>
      </c>
      <c r="J161" s="473">
        <f t="shared" si="77"/>
        <v>0</v>
      </c>
      <c r="K161" s="474">
        <f t="shared" si="78"/>
        <v>0</v>
      </c>
      <c r="L161" s="474">
        <f t="shared" si="79"/>
        <v>0</v>
      </c>
      <c r="M161" s="474">
        <f t="shared" si="80"/>
        <v>0</v>
      </c>
      <c r="N161" s="609"/>
    </row>
    <row r="162" spans="1:14" s="446" customFormat="1" ht="12.75">
      <c r="A162" s="467">
        <v>3.13</v>
      </c>
      <c r="B162" s="508" t="s">
        <v>470</v>
      </c>
      <c r="C162" s="469">
        <v>1</v>
      </c>
      <c r="D162" s="479" t="s">
        <v>427</v>
      </c>
      <c r="E162" s="505">
        <v>2772</v>
      </c>
      <c r="F162" s="505">
        <v>2772</v>
      </c>
      <c r="G162" s="460">
        <v>0</v>
      </c>
      <c r="H162" s="472"/>
      <c r="I162" s="472">
        <f t="shared" si="76"/>
        <v>0</v>
      </c>
      <c r="J162" s="473">
        <f t="shared" si="77"/>
        <v>0</v>
      </c>
      <c r="K162" s="474">
        <f t="shared" si="78"/>
        <v>0</v>
      </c>
      <c r="L162" s="474">
        <f t="shared" si="79"/>
        <v>0</v>
      </c>
      <c r="M162" s="474">
        <f t="shared" si="80"/>
        <v>0</v>
      </c>
      <c r="N162" s="609"/>
    </row>
    <row r="163" spans="1:14" s="446" customFormat="1" ht="12.75">
      <c r="A163" s="467">
        <v>3.14</v>
      </c>
      <c r="B163" s="508" t="s">
        <v>456</v>
      </c>
      <c r="C163" s="469">
        <v>1</v>
      </c>
      <c r="D163" s="479" t="s">
        <v>88</v>
      </c>
      <c r="E163" s="523">
        <v>222750</v>
      </c>
      <c r="F163" s="488">
        <v>222750</v>
      </c>
      <c r="G163" s="460">
        <v>0</v>
      </c>
      <c r="H163" s="472"/>
      <c r="I163" s="472">
        <f t="shared" si="76"/>
        <v>0</v>
      </c>
      <c r="J163" s="473">
        <f t="shared" si="77"/>
        <v>0</v>
      </c>
      <c r="K163" s="474">
        <f t="shared" si="78"/>
        <v>0</v>
      </c>
      <c r="L163" s="474">
        <f t="shared" si="79"/>
        <v>0</v>
      </c>
      <c r="M163" s="474">
        <f t="shared" si="80"/>
        <v>0</v>
      </c>
      <c r="N163" s="609"/>
    </row>
    <row r="164" spans="1:14" s="515" customFormat="1" ht="17.100000000000001" customHeight="1">
      <c r="A164" s="489">
        <v>3.15</v>
      </c>
      <c r="B164" s="508" t="s">
        <v>471</v>
      </c>
      <c r="C164" s="490">
        <v>180</v>
      </c>
      <c r="D164" s="479" t="s">
        <v>432</v>
      </c>
      <c r="E164" s="524">
        <v>338.91660000000002</v>
      </c>
      <c r="F164" s="491">
        <v>61004.99</v>
      </c>
      <c r="G164" s="525">
        <v>0</v>
      </c>
      <c r="H164" s="472"/>
      <c r="I164" s="472">
        <f t="shared" si="76"/>
        <v>0</v>
      </c>
      <c r="J164" s="473">
        <f t="shared" si="77"/>
        <v>0</v>
      </c>
      <c r="K164" s="474">
        <f t="shared" si="78"/>
        <v>0</v>
      </c>
      <c r="L164" s="474">
        <f t="shared" si="79"/>
        <v>0</v>
      </c>
      <c r="M164" s="474">
        <f t="shared" si="80"/>
        <v>0</v>
      </c>
      <c r="N164" s="609"/>
    </row>
    <row r="165" spans="1:14" s="493" customFormat="1" ht="12.75">
      <c r="A165" s="526"/>
      <c r="B165" s="477" t="s">
        <v>44</v>
      </c>
      <c r="C165" s="507"/>
      <c r="D165" s="497"/>
      <c r="E165" s="498"/>
      <c r="F165" s="481">
        <f>SUM(F103:F164)</f>
        <v>5964443.7300000014</v>
      </c>
      <c r="G165" s="482"/>
      <c r="H165" s="482"/>
      <c r="I165" s="483"/>
      <c r="J165" s="482"/>
      <c r="K165" s="484">
        <f>SUM(K103:K164)</f>
        <v>704725</v>
      </c>
      <c r="L165" s="484">
        <f>SUM(L103:L164)</f>
        <v>841005</v>
      </c>
      <c r="M165" s="484">
        <f t="shared" si="80"/>
        <v>1545730</v>
      </c>
      <c r="N165" s="609"/>
    </row>
    <row r="166" spans="1:14" s="493" customFormat="1" ht="24">
      <c r="A166" s="476" t="s">
        <v>214</v>
      </c>
      <c r="B166" s="506" t="s">
        <v>480</v>
      </c>
      <c r="C166" s="496"/>
      <c r="D166" s="497"/>
      <c r="E166" s="498"/>
      <c r="F166" s="498"/>
      <c r="G166" s="482"/>
      <c r="H166" s="482"/>
      <c r="I166" s="527"/>
      <c r="J166" s="482"/>
      <c r="K166" s="528"/>
      <c r="L166" s="529"/>
      <c r="M166" s="529"/>
      <c r="N166" s="609"/>
    </row>
    <row r="167" spans="1:14">
      <c r="A167" s="476">
        <v>1</v>
      </c>
      <c r="B167" s="506" t="s">
        <v>365</v>
      </c>
      <c r="C167" s="496"/>
      <c r="D167" s="497"/>
      <c r="E167" s="498"/>
      <c r="F167" s="498"/>
      <c r="G167" s="460"/>
      <c r="H167" s="463"/>
      <c r="I167" s="499"/>
      <c r="J167" s="463"/>
      <c r="K167" s="464"/>
      <c r="L167" s="464"/>
      <c r="M167" s="464"/>
      <c r="N167" s="609"/>
    </row>
    <row r="168" spans="1:14" s="446" customFormat="1" ht="12.75">
      <c r="A168" s="467">
        <v>1.01</v>
      </c>
      <c r="B168" s="508" t="s">
        <v>29</v>
      </c>
      <c r="C168" s="469">
        <v>2190</v>
      </c>
      <c r="D168" s="479" t="s">
        <v>264</v>
      </c>
      <c r="E168" s="488">
        <v>60</v>
      </c>
      <c r="F168" s="488">
        <v>131400</v>
      </c>
      <c r="G168" s="460">
        <v>2190</v>
      </c>
      <c r="H168" s="472"/>
      <c r="I168" s="472">
        <f t="shared" ref="I168" si="81">G168+H168</f>
        <v>2190</v>
      </c>
      <c r="J168" s="473">
        <f t="shared" ref="J168" si="82">I168/C168</f>
        <v>1</v>
      </c>
      <c r="K168" s="474">
        <f t="shared" ref="K168" si="83">G168*E168</f>
        <v>131400</v>
      </c>
      <c r="L168" s="474">
        <f t="shared" ref="L168" si="84">H168*E168</f>
        <v>0</v>
      </c>
      <c r="M168" s="474">
        <f t="shared" ref="M168" si="85">K168+L168</f>
        <v>131400</v>
      </c>
      <c r="N168" s="609"/>
    </row>
    <row r="169" spans="1:14">
      <c r="A169" s="476">
        <v>2</v>
      </c>
      <c r="B169" s="506" t="s">
        <v>250</v>
      </c>
      <c r="C169" s="496"/>
      <c r="D169" s="497"/>
      <c r="E169" s="498"/>
      <c r="F169" s="498"/>
      <c r="G169" s="460"/>
      <c r="H169" s="463"/>
      <c r="I169" s="499"/>
      <c r="J169" s="463"/>
      <c r="K169" s="464"/>
      <c r="L169" s="464"/>
      <c r="M169" s="464"/>
      <c r="N169" s="609"/>
    </row>
    <row r="170" spans="1:14" s="446" customFormat="1" ht="12.75">
      <c r="A170" s="467">
        <v>2.0099999999999998</v>
      </c>
      <c r="B170" s="508" t="s">
        <v>37</v>
      </c>
      <c r="C170" s="469">
        <v>1971</v>
      </c>
      <c r="D170" s="479" t="s">
        <v>38</v>
      </c>
      <c r="E170" s="505">
        <v>198</v>
      </c>
      <c r="F170" s="488">
        <v>390258</v>
      </c>
      <c r="G170" s="460">
        <v>1971</v>
      </c>
      <c r="H170" s="472"/>
      <c r="I170" s="472">
        <f t="shared" ref="I170:I174" si="86">G170+H170</f>
        <v>1971</v>
      </c>
      <c r="J170" s="473">
        <f t="shared" ref="J170:J174" si="87">I170/C170</f>
        <v>1</v>
      </c>
      <c r="K170" s="474">
        <f t="shared" ref="K170:K174" si="88">G170*E170</f>
        <v>390258</v>
      </c>
      <c r="L170" s="474">
        <f t="shared" ref="L170:L174" si="89">H170*E170</f>
        <v>0</v>
      </c>
      <c r="M170" s="474">
        <f t="shared" ref="M170:M174" si="90">K170+L170</f>
        <v>390258</v>
      </c>
      <c r="N170" s="609"/>
    </row>
    <row r="171" spans="1:14">
      <c r="A171" s="467">
        <v>2.02</v>
      </c>
      <c r="B171" s="508" t="s">
        <v>369</v>
      </c>
      <c r="C171" s="469">
        <v>164.25</v>
      </c>
      <c r="D171" s="479" t="s">
        <v>38</v>
      </c>
      <c r="E171" s="505">
        <v>940.5</v>
      </c>
      <c r="F171" s="488">
        <v>154477.13</v>
      </c>
      <c r="G171" s="460">
        <v>164.25</v>
      </c>
      <c r="H171" s="472"/>
      <c r="I171" s="472">
        <f t="shared" si="86"/>
        <v>164.25</v>
      </c>
      <c r="J171" s="473">
        <f t="shared" si="87"/>
        <v>1</v>
      </c>
      <c r="K171" s="474">
        <f t="shared" si="88"/>
        <v>154477.125</v>
      </c>
      <c r="L171" s="474">
        <f t="shared" si="89"/>
        <v>0</v>
      </c>
      <c r="M171" s="474">
        <f t="shared" si="90"/>
        <v>154477.125</v>
      </c>
      <c r="N171" s="609"/>
    </row>
    <row r="172" spans="1:14" s="493" customFormat="1" ht="12.75">
      <c r="A172" s="467">
        <v>2.0299999999999998</v>
      </c>
      <c r="B172" s="508" t="s">
        <v>370</v>
      </c>
      <c r="C172" s="469">
        <v>1182.5999999999999</v>
      </c>
      <c r="D172" s="479" t="s">
        <v>38</v>
      </c>
      <c r="E172" s="505">
        <v>539.54999999999995</v>
      </c>
      <c r="F172" s="488">
        <v>638071.82999999996</v>
      </c>
      <c r="G172" s="460">
        <v>1182.5999999999999</v>
      </c>
      <c r="H172" s="472"/>
      <c r="I172" s="472">
        <f t="shared" si="86"/>
        <v>1182.5999999999999</v>
      </c>
      <c r="J172" s="473">
        <f t="shared" si="87"/>
        <v>1</v>
      </c>
      <c r="K172" s="474">
        <f t="shared" si="88"/>
        <v>638071.82999999984</v>
      </c>
      <c r="L172" s="474">
        <f t="shared" si="89"/>
        <v>0</v>
      </c>
      <c r="M172" s="474">
        <f t="shared" si="90"/>
        <v>638071.82999999984</v>
      </c>
      <c r="N172" s="609"/>
    </row>
    <row r="173" spans="1:14">
      <c r="A173" s="467">
        <v>2.04</v>
      </c>
      <c r="B173" s="508" t="s">
        <v>253</v>
      </c>
      <c r="C173" s="469">
        <v>985.50000000000011</v>
      </c>
      <c r="D173" s="479" t="s">
        <v>38</v>
      </c>
      <c r="E173" s="505">
        <v>247.5</v>
      </c>
      <c r="F173" s="488">
        <v>243911.25</v>
      </c>
      <c r="G173" s="460">
        <v>985.50000000000011</v>
      </c>
      <c r="H173" s="472"/>
      <c r="I173" s="472">
        <f t="shared" si="86"/>
        <v>985.50000000000011</v>
      </c>
      <c r="J173" s="473">
        <f t="shared" si="87"/>
        <v>1</v>
      </c>
      <c r="K173" s="474">
        <f t="shared" si="88"/>
        <v>243911.25000000003</v>
      </c>
      <c r="L173" s="474">
        <f t="shared" si="89"/>
        <v>0</v>
      </c>
      <c r="M173" s="474">
        <f t="shared" si="90"/>
        <v>243911.25000000003</v>
      </c>
      <c r="N173" s="609"/>
    </row>
    <row r="174" spans="1:14" s="531" customFormat="1" ht="24">
      <c r="A174" s="489">
        <v>2.0499999999999998</v>
      </c>
      <c r="B174" s="508" t="s">
        <v>371</v>
      </c>
      <c r="C174" s="490">
        <v>591.29999999999995</v>
      </c>
      <c r="D174" s="479" t="s">
        <v>38</v>
      </c>
      <c r="E174" s="510">
        <v>762.3</v>
      </c>
      <c r="F174" s="491">
        <v>450747.99</v>
      </c>
      <c r="G174" s="460">
        <v>591.29999999999995</v>
      </c>
      <c r="H174" s="472"/>
      <c r="I174" s="472">
        <f t="shared" si="86"/>
        <v>591.29999999999995</v>
      </c>
      <c r="J174" s="473">
        <f t="shared" si="87"/>
        <v>1</v>
      </c>
      <c r="K174" s="474">
        <f t="shared" si="88"/>
        <v>450747.98999999993</v>
      </c>
      <c r="L174" s="474">
        <f t="shared" si="89"/>
        <v>0</v>
      </c>
      <c r="M174" s="474">
        <f t="shared" si="90"/>
        <v>450747.98999999993</v>
      </c>
      <c r="N174" s="609"/>
    </row>
    <row r="175" spans="1:14">
      <c r="A175" s="476">
        <v>3</v>
      </c>
      <c r="B175" s="506" t="s">
        <v>45</v>
      </c>
      <c r="C175" s="469"/>
      <c r="D175" s="479"/>
      <c r="E175" s="480"/>
      <c r="F175" s="480"/>
      <c r="G175" s="463"/>
      <c r="H175" s="463"/>
      <c r="I175" s="499"/>
      <c r="J175" s="463"/>
      <c r="K175" s="464"/>
      <c r="L175" s="464"/>
      <c r="M175" s="464"/>
      <c r="N175" s="609"/>
    </row>
    <row r="176" spans="1:14">
      <c r="A176" s="489">
        <v>3.01</v>
      </c>
      <c r="B176" s="508" t="s">
        <v>481</v>
      </c>
      <c r="C176" s="469">
        <v>2227.5</v>
      </c>
      <c r="D176" s="479" t="s">
        <v>30</v>
      </c>
      <c r="E176" s="505">
        <v>3247.2366858919004</v>
      </c>
      <c r="F176" s="488">
        <v>7233219.7178242086</v>
      </c>
      <c r="G176" s="460">
        <v>0</v>
      </c>
      <c r="H176" s="472"/>
      <c r="I176" s="472">
        <f t="shared" ref="I176" si="91">G176+H176</f>
        <v>0</v>
      </c>
      <c r="J176" s="473">
        <f t="shared" ref="J176" si="92">I176/C176</f>
        <v>0</v>
      </c>
      <c r="K176" s="474">
        <f t="shared" ref="K176" si="93">G176*E176</f>
        <v>0</v>
      </c>
      <c r="L176" s="474">
        <f t="shared" ref="L176" si="94">H176*E176</f>
        <v>0</v>
      </c>
      <c r="M176" s="474">
        <f t="shared" ref="M176" si="95">K176+L176</f>
        <v>0</v>
      </c>
      <c r="N176" s="609"/>
    </row>
    <row r="177" spans="1:14" s="493" customFormat="1" ht="12.75">
      <c r="A177" s="476">
        <v>4</v>
      </c>
      <c r="B177" s="506" t="s">
        <v>374</v>
      </c>
      <c r="C177" s="496"/>
      <c r="D177" s="497"/>
      <c r="E177" s="498"/>
      <c r="F177" s="498"/>
      <c r="G177" s="502"/>
      <c r="H177" s="482"/>
      <c r="I177" s="483"/>
      <c r="J177" s="482"/>
      <c r="K177" s="503"/>
      <c r="L177" s="503"/>
      <c r="M177" s="503"/>
      <c r="N177" s="609"/>
    </row>
    <row r="178" spans="1:14">
      <c r="A178" s="467">
        <v>4.01</v>
      </c>
      <c r="B178" s="508" t="s">
        <v>482</v>
      </c>
      <c r="C178" s="469">
        <v>2190</v>
      </c>
      <c r="D178" s="479" t="s">
        <v>30</v>
      </c>
      <c r="E178" s="505">
        <v>80</v>
      </c>
      <c r="F178" s="488">
        <v>175200</v>
      </c>
      <c r="G178" s="460">
        <v>2190</v>
      </c>
      <c r="H178" s="472"/>
      <c r="I178" s="472">
        <f t="shared" ref="I178" si="96">G178+H178</f>
        <v>2190</v>
      </c>
      <c r="J178" s="473">
        <f t="shared" ref="J178" si="97">I178/C178</f>
        <v>1</v>
      </c>
      <c r="K178" s="474">
        <f t="shared" ref="K178" si="98">G178*E178</f>
        <v>175200</v>
      </c>
      <c r="L178" s="474">
        <f t="shared" ref="L178" si="99">H178*E178</f>
        <v>0</v>
      </c>
      <c r="M178" s="474">
        <f t="shared" ref="M178" si="100">K178+L178</f>
        <v>175200</v>
      </c>
      <c r="N178" s="609"/>
    </row>
    <row r="179" spans="1:14" s="493" customFormat="1" ht="12.75">
      <c r="A179" s="476">
        <v>5</v>
      </c>
      <c r="B179" s="506" t="s">
        <v>483</v>
      </c>
      <c r="C179" s="496"/>
      <c r="D179" s="497"/>
      <c r="E179" s="498"/>
      <c r="F179" s="498"/>
      <c r="G179" s="502"/>
      <c r="H179" s="482"/>
      <c r="I179" s="483"/>
      <c r="J179" s="482"/>
      <c r="K179" s="503"/>
      <c r="L179" s="503"/>
      <c r="M179" s="503"/>
      <c r="N179" s="609"/>
    </row>
    <row r="180" spans="1:14">
      <c r="A180" s="467">
        <v>5.01</v>
      </c>
      <c r="B180" s="508" t="s">
        <v>484</v>
      </c>
      <c r="C180" s="469">
        <v>72</v>
      </c>
      <c r="D180" s="479" t="s">
        <v>30</v>
      </c>
      <c r="E180" s="505">
        <v>8379.9096102713029</v>
      </c>
      <c r="F180" s="488">
        <v>603353.49193953385</v>
      </c>
      <c r="G180" s="460">
        <v>72</v>
      </c>
      <c r="H180" s="472"/>
      <c r="I180" s="472">
        <f t="shared" ref="I180:I181" si="101">G180+H180</f>
        <v>72</v>
      </c>
      <c r="J180" s="473">
        <f t="shared" ref="J180:J181" si="102">I180/C180</f>
        <v>1</v>
      </c>
      <c r="K180" s="474">
        <f t="shared" ref="K180:K181" si="103">G180*E180</f>
        <v>603353.49193953385</v>
      </c>
      <c r="L180" s="474">
        <f t="shared" ref="L180:L181" si="104">H180*E180</f>
        <v>0</v>
      </c>
      <c r="M180" s="474">
        <f t="shared" ref="M180:M181" si="105">K180+L180</f>
        <v>603353.49193953385</v>
      </c>
      <c r="N180" s="609"/>
    </row>
    <row r="181" spans="1:14">
      <c r="A181" s="467">
        <v>5.0199999999999996</v>
      </c>
      <c r="B181" s="508" t="s">
        <v>485</v>
      </c>
      <c r="C181" s="469">
        <v>14</v>
      </c>
      <c r="D181" s="479" t="s">
        <v>50</v>
      </c>
      <c r="E181" s="505">
        <v>6509.6</v>
      </c>
      <c r="F181" s="488">
        <v>91134.400000000009</v>
      </c>
      <c r="G181" s="460">
        <v>14</v>
      </c>
      <c r="H181" s="472"/>
      <c r="I181" s="472">
        <f t="shared" si="101"/>
        <v>14</v>
      </c>
      <c r="J181" s="473">
        <f t="shared" si="102"/>
        <v>1</v>
      </c>
      <c r="K181" s="474">
        <f t="shared" si="103"/>
        <v>91134.400000000009</v>
      </c>
      <c r="L181" s="474">
        <f t="shared" si="104"/>
        <v>0</v>
      </c>
      <c r="M181" s="474">
        <f t="shared" si="105"/>
        <v>91134.400000000009</v>
      </c>
      <c r="N181" s="609"/>
    </row>
    <row r="182" spans="1:14" s="493" customFormat="1" ht="12.75">
      <c r="A182" s="476">
        <v>6</v>
      </c>
      <c r="B182" s="506" t="s">
        <v>486</v>
      </c>
      <c r="C182" s="496"/>
      <c r="D182" s="497"/>
      <c r="E182" s="498"/>
      <c r="F182" s="498"/>
      <c r="G182" s="482"/>
      <c r="H182" s="482"/>
      <c r="I182" s="483"/>
      <c r="J182" s="482"/>
      <c r="K182" s="503"/>
      <c r="L182" s="503"/>
      <c r="M182" s="503"/>
      <c r="N182" s="609"/>
    </row>
    <row r="183" spans="1:14">
      <c r="A183" s="467">
        <v>6.01</v>
      </c>
      <c r="B183" s="508" t="s">
        <v>386</v>
      </c>
      <c r="C183" s="469">
        <v>2</v>
      </c>
      <c r="D183" s="479" t="s">
        <v>50</v>
      </c>
      <c r="E183" s="505">
        <v>12090.784935124999</v>
      </c>
      <c r="F183" s="488">
        <v>24181.569870249998</v>
      </c>
      <c r="G183" s="460">
        <v>2</v>
      </c>
      <c r="H183" s="472"/>
      <c r="I183" s="472">
        <f t="shared" ref="I183" si="106">G183+H183</f>
        <v>2</v>
      </c>
      <c r="J183" s="473">
        <f t="shared" ref="J183" si="107">I183/C183</f>
        <v>1</v>
      </c>
      <c r="K183" s="474">
        <f t="shared" ref="K183" si="108">G183*E183</f>
        <v>24181.569870249998</v>
      </c>
      <c r="L183" s="474">
        <f t="shared" ref="L183" si="109">H183*E183</f>
        <v>0</v>
      </c>
      <c r="M183" s="474">
        <f t="shared" ref="M183" si="110">K183+L183</f>
        <v>24181.569870249998</v>
      </c>
      <c r="N183" s="609"/>
    </row>
    <row r="184" spans="1:14" s="493" customFormat="1" ht="12.75">
      <c r="A184" s="476">
        <v>7</v>
      </c>
      <c r="B184" s="506" t="s">
        <v>487</v>
      </c>
      <c r="C184" s="496"/>
      <c r="D184" s="497"/>
      <c r="E184" s="498"/>
      <c r="F184" s="498"/>
      <c r="G184" s="502"/>
      <c r="H184" s="482"/>
      <c r="I184" s="483"/>
      <c r="J184" s="482"/>
      <c r="K184" s="503"/>
      <c r="L184" s="503"/>
      <c r="M184" s="503"/>
      <c r="N184" s="609"/>
    </row>
    <row r="185" spans="1:14" ht="24">
      <c r="A185" s="467">
        <v>7.02</v>
      </c>
      <c r="B185" s="508" t="s">
        <v>488</v>
      </c>
      <c r="C185" s="469">
        <v>1</v>
      </c>
      <c r="D185" s="479" t="s">
        <v>50</v>
      </c>
      <c r="E185" s="505">
        <v>18308.45</v>
      </c>
      <c r="F185" s="488">
        <v>18308.45</v>
      </c>
      <c r="G185" s="460"/>
      <c r="H185" s="472">
        <v>1</v>
      </c>
      <c r="I185" s="472">
        <f t="shared" ref="I185:I186" si="111">G185+H185</f>
        <v>1</v>
      </c>
      <c r="J185" s="473">
        <f t="shared" ref="J185:J186" si="112">I185/C185</f>
        <v>1</v>
      </c>
      <c r="K185" s="474">
        <f t="shared" ref="K185:K186" si="113">G185*E185</f>
        <v>0</v>
      </c>
      <c r="L185" s="474">
        <f t="shared" ref="L185:L186" si="114">H185*E185</f>
        <v>18308.45</v>
      </c>
      <c r="M185" s="474">
        <f t="shared" ref="M185:M186" si="115">K185+L185</f>
        <v>18308.45</v>
      </c>
      <c r="N185" s="609"/>
    </row>
    <row r="186" spans="1:14" s="533" customFormat="1" ht="18" customHeight="1">
      <c r="A186" s="489">
        <v>7.03</v>
      </c>
      <c r="B186" s="508" t="s">
        <v>489</v>
      </c>
      <c r="C186" s="490">
        <v>3</v>
      </c>
      <c r="D186" s="479" t="s">
        <v>50</v>
      </c>
      <c r="E186" s="510">
        <v>34594.22</v>
      </c>
      <c r="F186" s="491">
        <v>103782.66</v>
      </c>
      <c r="G186" s="460">
        <v>3</v>
      </c>
      <c r="H186" s="472"/>
      <c r="I186" s="472">
        <f t="shared" si="111"/>
        <v>3</v>
      </c>
      <c r="J186" s="473">
        <f t="shared" si="112"/>
        <v>1</v>
      </c>
      <c r="K186" s="474">
        <f t="shared" si="113"/>
        <v>103782.66</v>
      </c>
      <c r="L186" s="474">
        <f t="shared" si="114"/>
        <v>0</v>
      </c>
      <c r="M186" s="474">
        <f t="shared" si="115"/>
        <v>103782.66</v>
      </c>
      <c r="N186" s="609"/>
    </row>
    <row r="187" spans="1:14" s="493" customFormat="1" ht="12.75">
      <c r="A187" s="476">
        <v>8</v>
      </c>
      <c r="B187" s="506" t="s">
        <v>490</v>
      </c>
      <c r="C187" s="496"/>
      <c r="D187" s="497"/>
      <c r="E187" s="498"/>
      <c r="F187" s="498"/>
      <c r="G187" s="502"/>
      <c r="H187" s="482"/>
      <c r="I187" s="483"/>
      <c r="J187" s="482"/>
      <c r="K187" s="503"/>
      <c r="L187" s="503"/>
      <c r="M187" s="503"/>
      <c r="N187" s="609"/>
    </row>
    <row r="188" spans="1:14">
      <c r="A188" s="467">
        <v>8.01</v>
      </c>
      <c r="B188" s="508" t="s">
        <v>33</v>
      </c>
      <c r="C188" s="469">
        <v>810</v>
      </c>
      <c r="D188" s="479" t="s">
        <v>30</v>
      </c>
      <c r="E188" s="505">
        <v>87.27</v>
      </c>
      <c r="F188" s="488">
        <v>70688.7</v>
      </c>
      <c r="G188" s="460">
        <v>810</v>
      </c>
      <c r="H188" s="472"/>
      <c r="I188" s="472">
        <f t="shared" ref="I188" si="116">G188+H188</f>
        <v>810</v>
      </c>
      <c r="J188" s="473">
        <f t="shared" ref="J188" si="117">I188/C188</f>
        <v>1</v>
      </c>
      <c r="K188" s="474">
        <f t="shared" ref="K188" si="118">G188*E188</f>
        <v>70688.7</v>
      </c>
      <c r="L188" s="474">
        <f t="shared" ref="L188" si="119">H188*E188</f>
        <v>0</v>
      </c>
      <c r="M188" s="474">
        <f t="shared" ref="M188" si="120">K188+L188</f>
        <v>70688.7</v>
      </c>
      <c r="N188" s="609"/>
    </row>
    <row r="189" spans="1:14" s="493" customFormat="1" ht="12.75">
      <c r="A189" s="476">
        <v>9</v>
      </c>
      <c r="B189" s="506" t="s">
        <v>491</v>
      </c>
      <c r="C189" s="496"/>
      <c r="D189" s="497"/>
      <c r="E189" s="498"/>
      <c r="F189" s="498"/>
      <c r="G189" s="502"/>
      <c r="H189" s="482"/>
      <c r="I189" s="483"/>
      <c r="J189" s="482"/>
      <c r="K189" s="503"/>
      <c r="L189" s="503"/>
      <c r="M189" s="503"/>
      <c r="N189" s="609"/>
    </row>
    <row r="190" spans="1:14">
      <c r="A190" s="467">
        <v>9.01</v>
      </c>
      <c r="B190" s="508" t="s">
        <v>378</v>
      </c>
      <c r="C190" s="469">
        <v>20</v>
      </c>
      <c r="D190" s="479" t="s">
        <v>50</v>
      </c>
      <c r="E190" s="505">
        <v>1420.9679999999998</v>
      </c>
      <c r="F190" s="488">
        <v>28419.359999999997</v>
      </c>
      <c r="G190" s="460">
        <v>20</v>
      </c>
      <c r="H190" s="472"/>
      <c r="I190" s="472">
        <f t="shared" ref="I190:I191" si="121">G190+H190</f>
        <v>20</v>
      </c>
      <c r="J190" s="473">
        <f t="shared" ref="J190:J191" si="122">I190/C190</f>
        <v>1</v>
      </c>
      <c r="K190" s="474">
        <f t="shared" ref="K190:K191" si="123">G190*E190</f>
        <v>28419.359999999997</v>
      </c>
      <c r="L190" s="474">
        <f t="shared" ref="L190:L191" si="124">H190*E190</f>
        <v>0</v>
      </c>
      <c r="M190" s="474">
        <f t="shared" ref="M190:M191" si="125">K190+L190</f>
        <v>28419.359999999997</v>
      </c>
      <c r="N190" s="609"/>
    </row>
    <row r="191" spans="1:14" s="533" customFormat="1" ht="15" customHeight="1">
      <c r="A191" s="489">
        <v>9.02</v>
      </c>
      <c r="B191" s="508" t="s">
        <v>492</v>
      </c>
      <c r="C191" s="490">
        <v>6</v>
      </c>
      <c r="D191" s="479" t="s">
        <v>50</v>
      </c>
      <c r="E191" s="510">
        <v>11911.1</v>
      </c>
      <c r="F191" s="491">
        <v>71466.600000000006</v>
      </c>
      <c r="G191" s="534">
        <v>6</v>
      </c>
      <c r="H191" s="472"/>
      <c r="I191" s="472">
        <f t="shared" si="121"/>
        <v>6</v>
      </c>
      <c r="J191" s="473">
        <f t="shared" si="122"/>
        <v>1</v>
      </c>
      <c r="K191" s="474">
        <f t="shared" si="123"/>
        <v>71466.600000000006</v>
      </c>
      <c r="L191" s="474">
        <f t="shared" si="124"/>
        <v>0</v>
      </c>
      <c r="M191" s="474">
        <f t="shared" si="125"/>
        <v>71466.600000000006</v>
      </c>
      <c r="N191" s="609"/>
    </row>
    <row r="192" spans="1:14" s="493" customFormat="1" ht="12.75">
      <c r="A192" s="526"/>
      <c r="B192" s="477" t="s">
        <v>44</v>
      </c>
      <c r="C192" s="507"/>
      <c r="D192" s="497"/>
      <c r="E192" s="498"/>
      <c r="F192" s="481">
        <f>SUM(F168:F191)</f>
        <v>10428621.149633991</v>
      </c>
      <c r="G192" s="502"/>
      <c r="H192" s="502"/>
      <c r="I192" s="483"/>
      <c r="J192" s="482"/>
      <c r="K192" s="484">
        <f>SUM(K168:K191)</f>
        <v>3177092.9768097838</v>
      </c>
      <c r="L192" s="484">
        <f>SUM(L168:L191)</f>
        <v>18308.45</v>
      </c>
      <c r="M192" s="484">
        <f>SUM(M168:M191)</f>
        <v>3195401.426809784</v>
      </c>
      <c r="N192" s="609"/>
    </row>
    <row r="193" spans="1:14" s="542" customFormat="1" ht="24">
      <c r="A193" s="495" t="s">
        <v>221</v>
      </c>
      <c r="B193" s="506" t="s">
        <v>493</v>
      </c>
      <c r="C193" s="535"/>
      <c r="D193" s="497"/>
      <c r="E193" s="536"/>
      <c r="F193" s="536"/>
      <c r="G193" s="537"/>
      <c r="H193" s="538"/>
      <c r="I193" s="539"/>
      <c r="J193" s="538"/>
      <c r="K193" s="540"/>
      <c r="L193" s="540"/>
      <c r="M193" s="540"/>
      <c r="N193" s="609"/>
    </row>
    <row r="194" spans="1:14" s="493" customFormat="1" ht="12.75">
      <c r="A194" s="476">
        <v>1</v>
      </c>
      <c r="B194" s="506" t="s">
        <v>365</v>
      </c>
      <c r="C194" s="496"/>
      <c r="D194" s="497"/>
      <c r="E194" s="498"/>
      <c r="F194" s="498"/>
      <c r="G194" s="502"/>
      <c r="H194" s="482"/>
      <c r="I194" s="483"/>
      <c r="J194" s="482"/>
      <c r="K194" s="503"/>
      <c r="L194" s="503"/>
      <c r="M194" s="503"/>
      <c r="N194" s="609"/>
    </row>
    <row r="195" spans="1:14">
      <c r="A195" s="467">
        <v>1.01</v>
      </c>
      <c r="B195" s="508" t="s">
        <v>29</v>
      </c>
      <c r="C195" s="469">
        <v>2860</v>
      </c>
      <c r="D195" s="479" t="s">
        <v>264</v>
      </c>
      <c r="E195" s="488">
        <v>60</v>
      </c>
      <c r="F195" s="488">
        <v>171600</v>
      </c>
      <c r="G195" s="460">
        <v>2860</v>
      </c>
      <c r="H195" s="460"/>
      <c r="I195" s="472">
        <f t="shared" ref="I195" si="126">G195+H195</f>
        <v>2860</v>
      </c>
      <c r="J195" s="473">
        <f t="shared" ref="J195" si="127">I195/C195</f>
        <v>1</v>
      </c>
      <c r="K195" s="474">
        <f t="shared" ref="K195" si="128">G195*E195</f>
        <v>171600</v>
      </c>
      <c r="L195" s="474">
        <f t="shared" ref="L195" si="129">H195*E195</f>
        <v>0</v>
      </c>
      <c r="M195" s="474">
        <f t="shared" ref="M195" si="130">K195+L195</f>
        <v>171600</v>
      </c>
      <c r="N195" s="609"/>
    </row>
    <row r="196" spans="1:14" s="493" customFormat="1" ht="12.75">
      <c r="A196" s="476">
        <v>2</v>
      </c>
      <c r="B196" s="506" t="s">
        <v>250</v>
      </c>
      <c r="C196" s="496"/>
      <c r="D196" s="497"/>
      <c r="E196" s="498"/>
      <c r="F196" s="498"/>
      <c r="G196" s="482"/>
      <c r="H196" s="482"/>
      <c r="I196" s="527"/>
      <c r="J196" s="482"/>
      <c r="K196" s="528"/>
      <c r="L196" s="529"/>
      <c r="M196" s="529"/>
      <c r="N196" s="609"/>
    </row>
    <row r="197" spans="1:14" s="446" customFormat="1" ht="12.75">
      <c r="A197" s="467">
        <v>2.0099999999999998</v>
      </c>
      <c r="B197" s="508" t="s">
        <v>37</v>
      </c>
      <c r="C197" s="469">
        <v>1887.6000000000001</v>
      </c>
      <c r="D197" s="479" t="s">
        <v>38</v>
      </c>
      <c r="E197" s="505">
        <v>198</v>
      </c>
      <c r="F197" s="488">
        <v>373744.8</v>
      </c>
      <c r="G197" s="460">
        <v>1887.6000000000001</v>
      </c>
      <c r="H197" s="460"/>
      <c r="I197" s="472">
        <f t="shared" ref="I197:I201" si="131">G197+H197</f>
        <v>1887.6000000000001</v>
      </c>
      <c r="J197" s="473">
        <f t="shared" ref="J197:J201" si="132">I197/C197</f>
        <v>1</v>
      </c>
      <c r="K197" s="474">
        <f t="shared" ref="K197:K201" si="133">G197*E197</f>
        <v>373744.80000000005</v>
      </c>
      <c r="L197" s="474">
        <f t="shared" ref="L197:L201" si="134">H197*E197</f>
        <v>0</v>
      </c>
      <c r="M197" s="474">
        <f t="shared" ref="M197:M201" si="135">K197+L197</f>
        <v>373744.80000000005</v>
      </c>
      <c r="N197" s="609"/>
    </row>
    <row r="198" spans="1:14" s="446" customFormat="1" ht="12.75">
      <c r="A198" s="467">
        <v>2.02</v>
      </c>
      <c r="B198" s="508" t="s">
        <v>369</v>
      </c>
      <c r="C198" s="469">
        <v>171.6</v>
      </c>
      <c r="D198" s="479" t="s">
        <v>38</v>
      </c>
      <c r="E198" s="505">
        <v>940.5</v>
      </c>
      <c r="F198" s="488">
        <v>161389.79999999999</v>
      </c>
      <c r="G198" s="463">
        <v>171.6</v>
      </c>
      <c r="H198" s="463"/>
      <c r="I198" s="472">
        <f t="shared" si="131"/>
        <v>171.6</v>
      </c>
      <c r="J198" s="473">
        <f t="shared" si="132"/>
        <v>1</v>
      </c>
      <c r="K198" s="474">
        <f t="shared" si="133"/>
        <v>161389.79999999999</v>
      </c>
      <c r="L198" s="474">
        <f t="shared" si="134"/>
        <v>0</v>
      </c>
      <c r="M198" s="474">
        <f t="shared" si="135"/>
        <v>161389.79999999999</v>
      </c>
      <c r="N198" s="609"/>
    </row>
    <row r="199" spans="1:14">
      <c r="A199" s="489">
        <v>2.0299999999999998</v>
      </c>
      <c r="B199" s="508" t="s">
        <v>370</v>
      </c>
      <c r="C199" s="490">
        <v>1132.56</v>
      </c>
      <c r="D199" s="479" t="s">
        <v>38</v>
      </c>
      <c r="E199" s="510">
        <v>539.54999999999995</v>
      </c>
      <c r="F199" s="491">
        <v>611072.75</v>
      </c>
      <c r="G199" s="463">
        <v>1132.56</v>
      </c>
      <c r="H199" s="543"/>
      <c r="I199" s="472">
        <f t="shared" si="131"/>
        <v>1132.56</v>
      </c>
      <c r="J199" s="473">
        <f t="shared" si="132"/>
        <v>1</v>
      </c>
      <c r="K199" s="474">
        <f t="shared" si="133"/>
        <v>611072.74799999991</v>
      </c>
      <c r="L199" s="474">
        <f t="shared" si="134"/>
        <v>0</v>
      </c>
      <c r="M199" s="474">
        <f t="shared" si="135"/>
        <v>611072.74799999991</v>
      </c>
      <c r="N199" s="609"/>
    </row>
    <row r="200" spans="1:14">
      <c r="A200" s="467">
        <v>2.04</v>
      </c>
      <c r="B200" s="508" t="s">
        <v>253</v>
      </c>
      <c r="C200" s="469">
        <v>943.80000000000007</v>
      </c>
      <c r="D200" s="479" t="s">
        <v>38</v>
      </c>
      <c r="E200" s="505">
        <v>247.5</v>
      </c>
      <c r="F200" s="488">
        <v>233590.5</v>
      </c>
      <c r="G200" s="463">
        <v>943.80000000000007</v>
      </c>
      <c r="H200" s="463"/>
      <c r="I200" s="472">
        <f t="shared" si="131"/>
        <v>943.80000000000007</v>
      </c>
      <c r="J200" s="473">
        <f t="shared" si="132"/>
        <v>1</v>
      </c>
      <c r="K200" s="474">
        <f t="shared" si="133"/>
        <v>233590.50000000003</v>
      </c>
      <c r="L200" s="474">
        <f t="shared" si="134"/>
        <v>0</v>
      </c>
      <c r="M200" s="474">
        <f t="shared" si="135"/>
        <v>233590.50000000003</v>
      </c>
      <c r="N200" s="609"/>
    </row>
    <row r="201" spans="1:14" ht="24">
      <c r="A201" s="467">
        <v>2.0499999999999998</v>
      </c>
      <c r="B201" s="508" t="s">
        <v>371</v>
      </c>
      <c r="C201" s="469">
        <v>566.28</v>
      </c>
      <c r="D201" s="479" t="s">
        <v>38</v>
      </c>
      <c r="E201" s="505">
        <v>762.3</v>
      </c>
      <c r="F201" s="488">
        <v>431675.24</v>
      </c>
      <c r="G201" s="460">
        <v>566.28</v>
      </c>
      <c r="H201" s="460"/>
      <c r="I201" s="472">
        <f t="shared" si="131"/>
        <v>566.28</v>
      </c>
      <c r="J201" s="473">
        <f t="shared" si="132"/>
        <v>1</v>
      </c>
      <c r="K201" s="474">
        <f t="shared" si="133"/>
        <v>431675.24399999995</v>
      </c>
      <c r="L201" s="474">
        <f t="shared" si="134"/>
        <v>0</v>
      </c>
      <c r="M201" s="474">
        <f t="shared" si="135"/>
        <v>431675.24399999995</v>
      </c>
      <c r="N201" s="609"/>
    </row>
    <row r="202" spans="1:14" s="493" customFormat="1" ht="12.75">
      <c r="A202" s="476">
        <v>3</v>
      </c>
      <c r="B202" s="506" t="s">
        <v>45</v>
      </c>
      <c r="C202" s="507"/>
      <c r="D202" s="497"/>
      <c r="E202" s="498"/>
      <c r="F202" s="498"/>
      <c r="G202" s="482"/>
      <c r="H202" s="482"/>
      <c r="I202" s="483"/>
      <c r="J202" s="482"/>
      <c r="K202" s="503"/>
      <c r="L202" s="503"/>
      <c r="M202" s="503"/>
      <c r="N202" s="609"/>
    </row>
    <row r="203" spans="1:14" ht="24">
      <c r="A203" s="467">
        <v>3.01</v>
      </c>
      <c r="B203" s="508" t="s">
        <v>494</v>
      </c>
      <c r="C203" s="469">
        <v>2883.37</v>
      </c>
      <c r="D203" s="479" t="s">
        <v>30</v>
      </c>
      <c r="E203" s="505">
        <v>1103.2438300811602</v>
      </c>
      <c r="F203" s="488">
        <v>3181060.1623411151</v>
      </c>
      <c r="G203" s="460">
        <v>2883.37</v>
      </c>
      <c r="H203" s="472"/>
      <c r="I203" s="472">
        <f t="shared" ref="I203" si="136">G203+H203</f>
        <v>2883.37</v>
      </c>
      <c r="J203" s="473">
        <f t="shared" ref="J203" si="137">I203/C203</f>
        <v>1</v>
      </c>
      <c r="K203" s="474">
        <f t="shared" ref="K203" si="138">G203*E203</f>
        <v>3181060.1623411151</v>
      </c>
      <c r="L203" s="474">
        <f t="shared" ref="L203" si="139">H203*E203</f>
        <v>0</v>
      </c>
      <c r="M203" s="474">
        <f t="shared" ref="M203" si="140">K203+L203</f>
        <v>3181060.1623411151</v>
      </c>
      <c r="N203" s="609"/>
    </row>
    <row r="204" spans="1:14" s="493" customFormat="1" ht="12.75">
      <c r="A204" s="476">
        <v>4</v>
      </c>
      <c r="B204" s="506" t="s">
        <v>374</v>
      </c>
      <c r="C204" s="496"/>
      <c r="D204" s="497"/>
      <c r="E204" s="498"/>
      <c r="F204" s="498"/>
      <c r="G204" s="502"/>
      <c r="H204" s="482"/>
      <c r="I204" s="483"/>
      <c r="J204" s="482"/>
      <c r="K204" s="503"/>
      <c r="L204" s="503"/>
      <c r="M204" s="503"/>
      <c r="N204" s="609"/>
    </row>
    <row r="205" spans="1:14">
      <c r="A205" s="467">
        <v>4.01</v>
      </c>
      <c r="B205" s="508" t="s">
        <v>495</v>
      </c>
      <c r="C205" s="469">
        <v>2860</v>
      </c>
      <c r="D205" s="479" t="s">
        <v>30</v>
      </c>
      <c r="E205" s="505">
        <v>65</v>
      </c>
      <c r="F205" s="488">
        <v>185900</v>
      </c>
      <c r="G205" s="460">
        <v>2860</v>
      </c>
      <c r="H205" s="472"/>
      <c r="I205" s="472">
        <f t="shared" ref="I205" si="141">G205+H205</f>
        <v>2860</v>
      </c>
      <c r="J205" s="473">
        <f t="shared" ref="J205" si="142">I205/C205</f>
        <v>1</v>
      </c>
      <c r="K205" s="474">
        <f t="shared" ref="K205" si="143">G205*E205</f>
        <v>185900</v>
      </c>
      <c r="L205" s="474">
        <f t="shared" ref="L205" si="144">H205*E205</f>
        <v>0</v>
      </c>
      <c r="M205" s="474">
        <f t="shared" ref="M205" si="145">K205+L205</f>
        <v>185900</v>
      </c>
      <c r="N205" s="609"/>
    </row>
    <row r="206" spans="1:14" s="493" customFormat="1" ht="12.75">
      <c r="A206" s="476">
        <v>5</v>
      </c>
      <c r="B206" s="506" t="s">
        <v>483</v>
      </c>
      <c r="C206" s="507"/>
      <c r="D206" s="497"/>
      <c r="E206" s="498"/>
      <c r="F206" s="498"/>
      <c r="G206" s="482"/>
      <c r="H206" s="482"/>
      <c r="I206" s="483"/>
      <c r="J206" s="482"/>
      <c r="K206" s="503"/>
      <c r="L206" s="503"/>
      <c r="M206" s="503"/>
      <c r="N206" s="609"/>
    </row>
    <row r="207" spans="1:14">
      <c r="A207" s="467">
        <v>5.01</v>
      </c>
      <c r="B207" s="508" t="s">
        <v>496</v>
      </c>
      <c r="C207" s="469">
        <v>119.63</v>
      </c>
      <c r="D207" s="479" t="s">
        <v>30</v>
      </c>
      <c r="E207" s="505">
        <v>7309.4523762376239</v>
      </c>
      <c r="F207" s="488">
        <v>874429.78776930692</v>
      </c>
      <c r="G207" s="460">
        <v>119.63000000000001</v>
      </c>
      <c r="H207" s="472"/>
      <c r="I207" s="472">
        <f t="shared" ref="I207:I208" si="146">G207+H207</f>
        <v>119.63000000000001</v>
      </c>
      <c r="J207" s="473">
        <f t="shared" ref="J207:J208" si="147">I207/C207</f>
        <v>1.0000000000000002</v>
      </c>
      <c r="K207" s="474">
        <f t="shared" ref="K207:K208" si="148">G207*E207</f>
        <v>874429.78776930703</v>
      </c>
      <c r="L207" s="474">
        <f t="shared" ref="L207:L208" si="149">H207*E207</f>
        <v>0</v>
      </c>
      <c r="M207" s="474">
        <f t="shared" ref="M207:M208" si="150">K207+L207</f>
        <v>874429.78776930703</v>
      </c>
      <c r="N207" s="609"/>
    </row>
    <row r="208" spans="1:14">
      <c r="A208" s="467">
        <v>5.0199999999999996</v>
      </c>
      <c r="B208" s="508" t="s">
        <v>485</v>
      </c>
      <c r="C208" s="469">
        <v>7</v>
      </c>
      <c r="D208" s="479" t="s">
        <v>50</v>
      </c>
      <c r="E208" s="505">
        <v>6509.6</v>
      </c>
      <c r="F208" s="488">
        <v>45567.200000000004</v>
      </c>
      <c r="G208" s="463">
        <v>0</v>
      </c>
      <c r="H208" s="472"/>
      <c r="I208" s="472">
        <f t="shared" si="146"/>
        <v>0</v>
      </c>
      <c r="J208" s="473">
        <f t="shared" si="147"/>
        <v>0</v>
      </c>
      <c r="K208" s="474">
        <f t="shared" si="148"/>
        <v>0</v>
      </c>
      <c r="L208" s="474">
        <f t="shared" si="149"/>
        <v>0</v>
      </c>
      <c r="M208" s="474">
        <f t="shared" si="150"/>
        <v>0</v>
      </c>
      <c r="N208" s="609"/>
    </row>
    <row r="209" spans="1:14" s="493" customFormat="1" ht="12.75">
      <c r="A209" s="476">
        <v>6</v>
      </c>
      <c r="B209" s="506" t="s">
        <v>486</v>
      </c>
      <c r="C209" s="496"/>
      <c r="D209" s="497"/>
      <c r="E209" s="498"/>
      <c r="F209" s="498"/>
      <c r="G209" s="482"/>
      <c r="H209" s="482"/>
      <c r="I209" s="527"/>
      <c r="J209" s="482"/>
      <c r="K209" s="528"/>
      <c r="L209" s="529"/>
      <c r="M209" s="529"/>
      <c r="N209" s="609"/>
    </row>
    <row r="210" spans="1:14" s="545" customFormat="1" ht="12.75">
      <c r="A210" s="467">
        <v>6.01</v>
      </c>
      <c r="B210" s="508" t="s">
        <v>497</v>
      </c>
      <c r="C210" s="469">
        <v>2</v>
      </c>
      <c r="D210" s="479" t="s">
        <v>50</v>
      </c>
      <c r="E210" s="505">
        <v>5344.9849999999997</v>
      </c>
      <c r="F210" s="488">
        <v>10689.97</v>
      </c>
      <c r="G210" s="460">
        <v>2</v>
      </c>
      <c r="H210" s="472"/>
      <c r="I210" s="472">
        <f t="shared" ref="I210:I213" si="151">G210+H210</f>
        <v>2</v>
      </c>
      <c r="J210" s="473">
        <f t="shared" ref="J210:J213" si="152">I210/C210</f>
        <v>1</v>
      </c>
      <c r="K210" s="474">
        <f t="shared" ref="K210:K213" si="153">G210*E210</f>
        <v>10689.97</v>
      </c>
      <c r="L210" s="474">
        <f t="shared" ref="L210:L213" si="154">H210*E210</f>
        <v>0</v>
      </c>
      <c r="M210" s="474">
        <f t="shared" ref="M210:M213" si="155">K210+L210</f>
        <v>10689.97</v>
      </c>
      <c r="N210" s="609"/>
    </row>
    <row r="211" spans="1:14" s="545" customFormat="1" ht="12.75">
      <c r="A211" s="467">
        <v>6.02</v>
      </c>
      <c r="B211" s="508" t="s">
        <v>498</v>
      </c>
      <c r="C211" s="469">
        <v>1</v>
      </c>
      <c r="D211" s="479" t="s">
        <v>50</v>
      </c>
      <c r="E211" s="505">
        <v>5466.2849999999999</v>
      </c>
      <c r="F211" s="488">
        <v>5466.2849999999999</v>
      </c>
      <c r="G211" s="463">
        <v>1</v>
      </c>
      <c r="H211" s="472"/>
      <c r="I211" s="472">
        <f t="shared" si="151"/>
        <v>1</v>
      </c>
      <c r="J211" s="473">
        <f t="shared" si="152"/>
        <v>1</v>
      </c>
      <c r="K211" s="474">
        <f t="shared" si="153"/>
        <v>5466.2849999999999</v>
      </c>
      <c r="L211" s="474">
        <f t="shared" si="154"/>
        <v>0</v>
      </c>
      <c r="M211" s="474">
        <f t="shared" si="155"/>
        <v>5466.2849999999999</v>
      </c>
      <c r="N211" s="609"/>
    </row>
    <row r="212" spans="1:14" s="545" customFormat="1" ht="12.75">
      <c r="A212" s="489">
        <v>6.03</v>
      </c>
      <c r="B212" s="508" t="s">
        <v>499</v>
      </c>
      <c r="C212" s="490">
        <v>4</v>
      </c>
      <c r="D212" s="479" t="s">
        <v>50</v>
      </c>
      <c r="E212" s="510">
        <v>4931.9849999999997</v>
      </c>
      <c r="F212" s="491">
        <v>19727.939999999999</v>
      </c>
      <c r="G212" s="463">
        <v>4</v>
      </c>
      <c r="H212" s="472"/>
      <c r="I212" s="472">
        <f t="shared" si="151"/>
        <v>4</v>
      </c>
      <c r="J212" s="473">
        <f t="shared" si="152"/>
        <v>1</v>
      </c>
      <c r="K212" s="474">
        <f t="shared" si="153"/>
        <v>19727.939999999999</v>
      </c>
      <c r="L212" s="474">
        <f t="shared" si="154"/>
        <v>0</v>
      </c>
      <c r="M212" s="474">
        <f t="shared" si="155"/>
        <v>19727.939999999999</v>
      </c>
      <c r="N212" s="609"/>
    </row>
    <row r="213" spans="1:14" s="545" customFormat="1" ht="12.75">
      <c r="A213" s="467">
        <v>6.04</v>
      </c>
      <c r="B213" s="508" t="s">
        <v>500</v>
      </c>
      <c r="C213" s="469">
        <v>2</v>
      </c>
      <c r="D213" s="479" t="s">
        <v>50</v>
      </c>
      <c r="E213" s="505">
        <v>4931.9849999999997</v>
      </c>
      <c r="F213" s="488">
        <v>9863.9699999999993</v>
      </c>
      <c r="G213" s="463">
        <v>2</v>
      </c>
      <c r="H213" s="472"/>
      <c r="I213" s="472">
        <f t="shared" si="151"/>
        <v>2</v>
      </c>
      <c r="J213" s="473">
        <f t="shared" si="152"/>
        <v>1</v>
      </c>
      <c r="K213" s="474">
        <f t="shared" si="153"/>
        <v>9863.9699999999993</v>
      </c>
      <c r="L213" s="474">
        <f t="shared" si="154"/>
        <v>0</v>
      </c>
      <c r="M213" s="474">
        <f t="shared" si="155"/>
        <v>9863.9699999999993</v>
      </c>
      <c r="N213" s="609"/>
    </row>
    <row r="214" spans="1:14" s="493" customFormat="1" ht="12.75">
      <c r="A214" s="476">
        <v>7</v>
      </c>
      <c r="B214" s="506" t="s">
        <v>487</v>
      </c>
      <c r="C214" s="496"/>
      <c r="D214" s="497"/>
      <c r="E214" s="498"/>
      <c r="F214" s="498"/>
      <c r="G214" s="482"/>
      <c r="H214" s="482"/>
      <c r="I214" s="483"/>
      <c r="J214" s="482"/>
      <c r="K214" s="503"/>
      <c r="L214" s="503"/>
      <c r="M214" s="503"/>
      <c r="N214" s="609"/>
    </row>
    <row r="215" spans="1:14" ht="24">
      <c r="A215" s="467">
        <v>7.01</v>
      </c>
      <c r="B215" s="508" t="s">
        <v>501</v>
      </c>
      <c r="C215" s="469">
        <v>1</v>
      </c>
      <c r="D215" s="479" t="s">
        <v>50</v>
      </c>
      <c r="E215" s="505">
        <v>8546.7800000000007</v>
      </c>
      <c r="F215" s="488">
        <v>8546.7800000000007</v>
      </c>
      <c r="G215" s="460">
        <v>1</v>
      </c>
      <c r="H215" s="472"/>
      <c r="I215" s="472">
        <f t="shared" ref="I215:I220" si="156">G215+H215</f>
        <v>1</v>
      </c>
      <c r="J215" s="473">
        <f t="shared" ref="J215:J220" si="157">I215/C215</f>
        <v>1</v>
      </c>
      <c r="K215" s="474">
        <f t="shared" ref="K215:K220" si="158">G215*E215</f>
        <v>8546.7800000000007</v>
      </c>
      <c r="L215" s="474">
        <f t="shared" ref="L215:L220" si="159">H215*E215</f>
        <v>0</v>
      </c>
      <c r="M215" s="474">
        <f t="shared" ref="M215:M220" si="160">K215+L215</f>
        <v>8546.7800000000007</v>
      </c>
      <c r="N215" s="609"/>
    </row>
    <row r="216" spans="1:14">
      <c r="A216" s="467">
        <v>7.02</v>
      </c>
      <c r="B216" s="508" t="s">
        <v>502</v>
      </c>
      <c r="C216" s="469">
        <v>2</v>
      </c>
      <c r="D216" s="479" t="s">
        <v>50</v>
      </c>
      <c r="E216" s="505">
        <v>16559.57</v>
      </c>
      <c r="F216" s="488">
        <v>33119.14</v>
      </c>
      <c r="G216" s="463">
        <v>2</v>
      </c>
      <c r="H216" s="472"/>
      <c r="I216" s="472">
        <f t="shared" si="156"/>
        <v>2</v>
      </c>
      <c r="J216" s="473">
        <f t="shared" si="157"/>
        <v>1</v>
      </c>
      <c r="K216" s="474">
        <f t="shared" si="158"/>
        <v>33119.14</v>
      </c>
      <c r="L216" s="474">
        <f t="shared" si="159"/>
        <v>0</v>
      </c>
      <c r="M216" s="474">
        <f t="shared" si="160"/>
        <v>33119.14</v>
      </c>
      <c r="N216" s="609"/>
    </row>
    <row r="217" spans="1:14" ht="24">
      <c r="A217" s="467">
        <v>7.03</v>
      </c>
      <c r="B217" s="508" t="s">
        <v>503</v>
      </c>
      <c r="C217" s="469">
        <v>4</v>
      </c>
      <c r="D217" s="479" t="s">
        <v>50</v>
      </c>
      <c r="E217" s="505">
        <v>20136.03</v>
      </c>
      <c r="F217" s="488">
        <v>80544.12</v>
      </c>
      <c r="G217" s="463">
        <v>4</v>
      </c>
      <c r="H217" s="472"/>
      <c r="I217" s="472">
        <f t="shared" si="156"/>
        <v>4</v>
      </c>
      <c r="J217" s="473">
        <f t="shared" si="157"/>
        <v>1</v>
      </c>
      <c r="K217" s="474">
        <f t="shared" si="158"/>
        <v>80544.12</v>
      </c>
      <c r="L217" s="474">
        <f t="shared" si="159"/>
        <v>0</v>
      </c>
      <c r="M217" s="474">
        <f t="shared" si="160"/>
        <v>80544.12</v>
      </c>
      <c r="N217" s="609"/>
    </row>
    <row r="218" spans="1:14" s="533" customFormat="1" ht="15.95" customHeight="1">
      <c r="A218" s="489">
        <v>7.04</v>
      </c>
      <c r="B218" s="508" t="s">
        <v>504</v>
      </c>
      <c r="C218" s="490">
        <v>2</v>
      </c>
      <c r="D218" s="479" t="s">
        <v>50</v>
      </c>
      <c r="E218" s="510">
        <v>49155.61</v>
      </c>
      <c r="F218" s="491">
        <v>98311.22</v>
      </c>
      <c r="G218" s="525">
        <v>2</v>
      </c>
      <c r="H218" s="472"/>
      <c r="I218" s="472">
        <f t="shared" si="156"/>
        <v>2</v>
      </c>
      <c r="J218" s="473">
        <f t="shared" si="157"/>
        <v>1</v>
      </c>
      <c r="K218" s="474">
        <f t="shared" si="158"/>
        <v>98311.22</v>
      </c>
      <c r="L218" s="474">
        <f t="shared" si="159"/>
        <v>0</v>
      </c>
      <c r="M218" s="474">
        <f t="shared" si="160"/>
        <v>98311.22</v>
      </c>
      <c r="N218" s="609"/>
    </row>
    <row r="219" spans="1:14" s="533" customFormat="1" ht="17.100000000000001" customHeight="1">
      <c r="A219" s="489">
        <v>7.05</v>
      </c>
      <c r="B219" s="508" t="s">
        <v>505</v>
      </c>
      <c r="C219" s="490">
        <v>1</v>
      </c>
      <c r="D219" s="479" t="s">
        <v>50</v>
      </c>
      <c r="E219" s="510">
        <v>38341.620000000003</v>
      </c>
      <c r="F219" s="491">
        <v>38341.620000000003</v>
      </c>
      <c r="G219" s="534">
        <v>1</v>
      </c>
      <c r="H219" s="472"/>
      <c r="I219" s="472">
        <f t="shared" si="156"/>
        <v>1</v>
      </c>
      <c r="J219" s="473">
        <f t="shared" si="157"/>
        <v>1</v>
      </c>
      <c r="K219" s="474">
        <f t="shared" si="158"/>
        <v>38341.620000000003</v>
      </c>
      <c r="L219" s="474">
        <f t="shared" si="159"/>
        <v>0</v>
      </c>
      <c r="M219" s="474">
        <f t="shared" si="160"/>
        <v>38341.620000000003</v>
      </c>
      <c r="N219" s="609"/>
    </row>
    <row r="220" spans="1:14">
      <c r="A220" s="467">
        <v>7.06</v>
      </c>
      <c r="B220" s="508" t="s">
        <v>506</v>
      </c>
      <c r="C220" s="469">
        <v>1</v>
      </c>
      <c r="D220" s="479" t="s">
        <v>50</v>
      </c>
      <c r="E220" s="505">
        <v>57553.99</v>
      </c>
      <c r="F220" s="488">
        <v>57553.99</v>
      </c>
      <c r="G220" s="460">
        <v>1</v>
      </c>
      <c r="H220" s="472"/>
      <c r="I220" s="472">
        <f t="shared" si="156"/>
        <v>1</v>
      </c>
      <c r="J220" s="473">
        <f t="shared" si="157"/>
        <v>1</v>
      </c>
      <c r="K220" s="474">
        <f t="shared" si="158"/>
        <v>57553.99</v>
      </c>
      <c r="L220" s="474">
        <f t="shared" si="159"/>
        <v>0</v>
      </c>
      <c r="M220" s="474">
        <f t="shared" si="160"/>
        <v>57553.99</v>
      </c>
      <c r="N220" s="609"/>
    </row>
    <row r="221" spans="1:14" s="493" customFormat="1" ht="12.75">
      <c r="A221" s="476">
        <v>8</v>
      </c>
      <c r="B221" s="506" t="s">
        <v>507</v>
      </c>
      <c r="C221" s="496"/>
      <c r="D221" s="497"/>
      <c r="E221" s="481"/>
      <c r="F221" s="481"/>
      <c r="G221" s="502"/>
      <c r="H221" s="482"/>
      <c r="I221" s="483"/>
      <c r="J221" s="482"/>
      <c r="K221" s="503"/>
      <c r="L221" s="503"/>
      <c r="M221" s="503"/>
      <c r="N221" s="609"/>
    </row>
    <row r="222" spans="1:14">
      <c r="A222" s="467">
        <v>8.01</v>
      </c>
      <c r="B222" s="508" t="s">
        <v>508</v>
      </c>
      <c r="C222" s="469">
        <v>1</v>
      </c>
      <c r="D222" s="479" t="s">
        <v>380</v>
      </c>
      <c r="E222" s="488">
        <v>15000</v>
      </c>
      <c r="F222" s="488">
        <v>15000</v>
      </c>
      <c r="G222" s="460">
        <v>0</v>
      </c>
      <c r="H222" s="472"/>
      <c r="I222" s="472">
        <f t="shared" ref="I222" si="161">G222+H222</f>
        <v>0</v>
      </c>
      <c r="J222" s="473">
        <f t="shared" ref="J222" si="162">I222/C222</f>
        <v>0</v>
      </c>
      <c r="K222" s="474">
        <f t="shared" ref="K222" si="163">G222*E222</f>
        <v>0</v>
      </c>
      <c r="L222" s="474">
        <f t="shared" ref="L222" si="164">H222*E222</f>
        <v>0</v>
      </c>
      <c r="M222" s="474">
        <f t="shared" ref="M222" si="165">K222+L222</f>
        <v>0</v>
      </c>
      <c r="N222" s="609"/>
    </row>
    <row r="223" spans="1:14" s="493" customFormat="1" ht="12.75">
      <c r="A223" s="476">
        <v>9</v>
      </c>
      <c r="B223" s="506" t="s">
        <v>414</v>
      </c>
      <c r="C223" s="496"/>
      <c r="D223" s="497"/>
      <c r="E223" s="498"/>
      <c r="F223" s="498"/>
      <c r="G223" s="482"/>
      <c r="H223" s="482"/>
      <c r="I223" s="483"/>
      <c r="J223" s="482"/>
      <c r="K223" s="503"/>
      <c r="L223" s="503"/>
      <c r="M223" s="503"/>
      <c r="N223" s="609"/>
    </row>
    <row r="224" spans="1:14" s="515" customFormat="1" ht="18" customHeight="1">
      <c r="A224" s="489">
        <v>9.01</v>
      </c>
      <c r="B224" s="508" t="s">
        <v>382</v>
      </c>
      <c r="C224" s="490">
        <v>100.8</v>
      </c>
      <c r="D224" s="479" t="s">
        <v>189</v>
      </c>
      <c r="E224" s="546">
        <v>280</v>
      </c>
      <c r="F224" s="491">
        <v>28224</v>
      </c>
      <c r="G224" s="460">
        <v>0</v>
      </c>
      <c r="H224" s="472"/>
      <c r="I224" s="472">
        <f t="shared" ref="I224" si="166">G224+H224</f>
        <v>0</v>
      </c>
      <c r="J224" s="473">
        <f t="shared" ref="J224" si="167">I224/C224</f>
        <v>0</v>
      </c>
      <c r="K224" s="474">
        <f t="shared" ref="K224" si="168">G224*E224</f>
        <v>0</v>
      </c>
      <c r="L224" s="474">
        <f t="shared" ref="L224" si="169">H224*E224</f>
        <v>0</v>
      </c>
      <c r="M224" s="474">
        <f t="shared" ref="M224" si="170">K224+L224</f>
        <v>0</v>
      </c>
      <c r="N224" s="609"/>
    </row>
    <row r="225" spans="1:14" s="493" customFormat="1" ht="12.75">
      <c r="A225" s="526"/>
      <c r="B225" s="477" t="s">
        <v>44</v>
      </c>
      <c r="C225" s="507"/>
      <c r="D225" s="497"/>
      <c r="E225" s="498"/>
      <c r="F225" s="481">
        <f>SUM(F195:F224)</f>
        <v>6675419.2751104226</v>
      </c>
      <c r="G225" s="502"/>
      <c r="H225" s="482"/>
      <c r="I225" s="527"/>
      <c r="J225" s="482"/>
      <c r="K225" s="547">
        <f>SUM(K195:K224)</f>
        <v>6586628.0771104228</v>
      </c>
      <c r="L225" s="548">
        <f>SUM(L195:L224)</f>
        <v>0</v>
      </c>
      <c r="M225" s="548">
        <f>K225+L225</f>
        <v>6586628.0771104228</v>
      </c>
      <c r="N225" s="609"/>
    </row>
    <row r="226" spans="1:14" ht="24">
      <c r="A226" s="495" t="s">
        <v>228</v>
      </c>
      <c r="B226" s="506" t="s">
        <v>509</v>
      </c>
      <c r="C226" s="469"/>
      <c r="D226" s="479"/>
      <c r="E226" s="480"/>
      <c r="F226" s="480"/>
      <c r="G226" s="463"/>
      <c r="H226" s="463"/>
      <c r="I226" s="499"/>
      <c r="J226" s="463"/>
      <c r="K226" s="464"/>
      <c r="L226" s="464"/>
      <c r="M226" s="464"/>
      <c r="N226" s="609"/>
    </row>
    <row r="227" spans="1:14" s="493" customFormat="1" ht="12.75">
      <c r="A227" s="476">
        <v>1</v>
      </c>
      <c r="B227" s="506" t="s">
        <v>365</v>
      </c>
      <c r="C227" s="469"/>
      <c r="D227" s="479"/>
      <c r="E227" s="480"/>
      <c r="F227" s="480"/>
      <c r="G227" s="502"/>
      <c r="H227" s="482"/>
      <c r="I227" s="483"/>
      <c r="J227" s="482"/>
      <c r="K227" s="528"/>
      <c r="L227" s="529"/>
      <c r="M227" s="529"/>
      <c r="N227" s="609"/>
    </row>
    <row r="228" spans="1:14">
      <c r="A228" s="467">
        <v>1.1000000000000001</v>
      </c>
      <c r="B228" s="508" t="s">
        <v>29</v>
      </c>
      <c r="C228" s="469">
        <v>5230</v>
      </c>
      <c r="D228" s="479" t="s">
        <v>264</v>
      </c>
      <c r="E228" s="488">
        <v>60</v>
      </c>
      <c r="F228" s="488">
        <v>313800</v>
      </c>
      <c r="G228" s="460">
        <v>5230</v>
      </c>
      <c r="H228" s="472"/>
      <c r="I228" s="472">
        <f t="shared" ref="I228" si="171">G228+H228</f>
        <v>5230</v>
      </c>
      <c r="J228" s="473">
        <f t="shared" ref="J228" si="172">I228/C228</f>
        <v>1</v>
      </c>
      <c r="K228" s="474">
        <f t="shared" ref="K228" si="173">G228*E228</f>
        <v>313800</v>
      </c>
      <c r="L228" s="474">
        <f t="shared" ref="L228" si="174">H228*E228</f>
        <v>0</v>
      </c>
      <c r="M228" s="474">
        <f t="shared" ref="M228" si="175">K228+L228</f>
        <v>313800</v>
      </c>
      <c r="N228" s="609"/>
    </row>
    <row r="229" spans="1:14">
      <c r="A229" s="476">
        <v>2</v>
      </c>
      <c r="B229" s="506" t="s">
        <v>250</v>
      </c>
      <c r="C229" s="469"/>
      <c r="D229" s="479"/>
      <c r="E229" s="480"/>
      <c r="F229" s="480"/>
      <c r="G229" s="463"/>
      <c r="H229" s="463"/>
      <c r="I229" s="499"/>
      <c r="J229" s="463"/>
      <c r="K229" s="464"/>
      <c r="L229" s="464"/>
      <c r="M229" s="464"/>
      <c r="N229" s="609"/>
    </row>
    <row r="230" spans="1:14">
      <c r="A230" s="467">
        <v>2.0099999999999998</v>
      </c>
      <c r="B230" s="508" t="s">
        <v>37</v>
      </c>
      <c r="C230" s="469">
        <v>4210.1499999999987</v>
      </c>
      <c r="D230" s="479" t="s">
        <v>38</v>
      </c>
      <c r="E230" s="488">
        <v>198</v>
      </c>
      <c r="F230" s="488">
        <v>833609.7</v>
      </c>
      <c r="G230" s="460">
        <v>4210.1499999999987</v>
      </c>
      <c r="H230" s="472"/>
      <c r="I230" s="472">
        <f t="shared" ref="I230:I234" si="176">G230+H230</f>
        <v>4210.1499999999987</v>
      </c>
      <c r="J230" s="473">
        <f t="shared" ref="J230:J234" si="177">I230/C230</f>
        <v>1</v>
      </c>
      <c r="K230" s="474">
        <f t="shared" ref="K230:K234" si="178">G230*E230</f>
        <v>833609.69999999972</v>
      </c>
      <c r="L230" s="474">
        <f t="shared" ref="L230:L234" si="179">H230*E230</f>
        <v>0</v>
      </c>
      <c r="M230" s="474">
        <f t="shared" ref="M230:M234" si="180">K230+L230</f>
        <v>833609.69999999972</v>
      </c>
      <c r="N230" s="609"/>
    </row>
    <row r="231" spans="1:14">
      <c r="A231" s="467">
        <v>2.02</v>
      </c>
      <c r="B231" s="508" t="s">
        <v>369</v>
      </c>
      <c r="C231" s="469">
        <v>366.09999999999997</v>
      </c>
      <c r="D231" s="479" t="s">
        <v>38</v>
      </c>
      <c r="E231" s="488">
        <v>940.5</v>
      </c>
      <c r="F231" s="488">
        <v>344317.05</v>
      </c>
      <c r="G231" s="460">
        <v>366.09999999999997</v>
      </c>
      <c r="H231" s="472"/>
      <c r="I231" s="472">
        <f t="shared" si="176"/>
        <v>366.09999999999997</v>
      </c>
      <c r="J231" s="473">
        <f t="shared" si="177"/>
        <v>1</v>
      </c>
      <c r="K231" s="474">
        <f t="shared" si="178"/>
        <v>344317.05</v>
      </c>
      <c r="L231" s="474">
        <f t="shared" si="179"/>
        <v>0</v>
      </c>
      <c r="M231" s="474">
        <f t="shared" si="180"/>
        <v>344317.05</v>
      </c>
      <c r="N231" s="609"/>
    </row>
    <row r="232" spans="1:14">
      <c r="A232" s="467">
        <v>2.0299999999999998</v>
      </c>
      <c r="B232" s="508" t="s">
        <v>370</v>
      </c>
      <c r="C232" s="469">
        <v>2526.0899999999992</v>
      </c>
      <c r="D232" s="479" t="s">
        <v>38</v>
      </c>
      <c r="E232" s="488">
        <v>539.54999999999995</v>
      </c>
      <c r="F232" s="488">
        <v>1362951.86</v>
      </c>
      <c r="G232" s="460">
        <v>2526.0899999999992</v>
      </c>
      <c r="H232" s="472"/>
      <c r="I232" s="472">
        <f t="shared" si="176"/>
        <v>2526.0899999999992</v>
      </c>
      <c r="J232" s="473">
        <f t="shared" si="177"/>
        <v>1</v>
      </c>
      <c r="K232" s="474">
        <f t="shared" si="178"/>
        <v>1362951.8594999996</v>
      </c>
      <c r="L232" s="474">
        <f t="shared" si="179"/>
        <v>0</v>
      </c>
      <c r="M232" s="474">
        <f t="shared" si="180"/>
        <v>1362951.8594999996</v>
      </c>
      <c r="N232" s="609"/>
    </row>
    <row r="233" spans="1:14" s="493" customFormat="1" ht="12.75">
      <c r="A233" s="467">
        <v>2.04</v>
      </c>
      <c r="B233" s="508" t="s">
        <v>253</v>
      </c>
      <c r="C233" s="469">
        <v>2105.0749999999994</v>
      </c>
      <c r="D233" s="479" t="s">
        <v>38</v>
      </c>
      <c r="E233" s="488">
        <v>247.5</v>
      </c>
      <c r="F233" s="488">
        <v>521006.06</v>
      </c>
      <c r="G233" s="460">
        <v>2105.0749999999994</v>
      </c>
      <c r="H233" s="472"/>
      <c r="I233" s="472">
        <f t="shared" si="176"/>
        <v>2105.0749999999994</v>
      </c>
      <c r="J233" s="473">
        <f t="shared" si="177"/>
        <v>1</v>
      </c>
      <c r="K233" s="474">
        <f t="shared" si="178"/>
        <v>521006.06249999983</v>
      </c>
      <c r="L233" s="474">
        <f t="shared" si="179"/>
        <v>0</v>
      </c>
      <c r="M233" s="474">
        <f t="shared" si="180"/>
        <v>521006.06249999983</v>
      </c>
      <c r="N233" s="609"/>
    </row>
    <row r="234" spans="1:14" ht="24">
      <c r="A234" s="467">
        <v>2.0499999999999998</v>
      </c>
      <c r="B234" s="508" t="s">
        <v>371</v>
      </c>
      <c r="C234" s="469">
        <v>1684.0599999999995</v>
      </c>
      <c r="D234" s="479" t="s">
        <v>38</v>
      </c>
      <c r="E234" s="488">
        <v>762.3</v>
      </c>
      <c r="F234" s="488">
        <v>1283758.94</v>
      </c>
      <c r="G234" s="460">
        <v>1684.0599999999995</v>
      </c>
      <c r="H234" s="472"/>
      <c r="I234" s="472">
        <f t="shared" si="176"/>
        <v>1684.0599999999995</v>
      </c>
      <c r="J234" s="473">
        <f t="shared" si="177"/>
        <v>1</v>
      </c>
      <c r="K234" s="474">
        <f t="shared" si="178"/>
        <v>1283758.9379999996</v>
      </c>
      <c r="L234" s="474">
        <f t="shared" si="179"/>
        <v>0</v>
      </c>
      <c r="M234" s="474">
        <f t="shared" si="180"/>
        <v>1283758.9379999996</v>
      </c>
      <c r="N234" s="609"/>
    </row>
    <row r="235" spans="1:14" s="493" customFormat="1" ht="12.75">
      <c r="A235" s="476">
        <v>3</v>
      </c>
      <c r="B235" s="506" t="s">
        <v>372</v>
      </c>
      <c r="C235" s="478"/>
      <c r="D235" s="479"/>
      <c r="E235" s="480"/>
      <c r="F235" s="480"/>
      <c r="G235" s="482"/>
      <c r="H235" s="502"/>
      <c r="I235" s="527"/>
      <c r="J235" s="482"/>
      <c r="K235" s="528"/>
      <c r="L235" s="529"/>
      <c r="M235" s="529"/>
      <c r="N235" s="609"/>
    </row>
    <row r="236" spans="1:14" ht="24">
      <c r="A236" s="467">
        <v>3.01</v>
      </c>
      <c r="B236" s="508" t="s">
        <v>510</v>
      </c>
      <c r="C236" s="469">
        <v>5491.5</v>
      </c>
      <c r="D236" s="479" t="s">
        <v>30</v>
      </c>
      <c r="E236" s="488">
        <v>2170.976647556553</v>
      </c>
      <c r="F236" s="488">
        <v>11921918.26005681</v>
      </c>
      <c r="G236" s="460">
        <v>5300</v>
      </c>
      <c r="H236" s="472"/>
      <c r="I236" s="472">
        <f t="shared" ref="I236" si="181">G236+H236</f>
        <v>5300</v>
      </c>
      <c r="J236" s="473">
        <f t="shared" ref="J236" si="182">I236/C236</f>
        <v>0.96512792497496125</v>
      </c>
      <c r="K236" s="474">
        <f t="shared" ref="K236" si="183">G236*E236</f>
        <v>11506176.232049732</v>
      </c>
      <c r="L236" s="474">
        <f t="shared" ref="L236" si="184">H236*E236</f>
        <v>0</v>
      </c>
      <c r="M236" s="474">
        <f t="shared" ref="M236" si="185">K236+L236</f>
        <v>11506176.232049732</v>
      </c>
      <c r="N236" s="609"/>
    </row>
    <row r="237" spans="1:14">
      <c r="A237" s="476">
        <v>4</v>
      </c>
      <c r="B237" s="506" t="s">
        <v>374</v>
      </c>
      <c r="C237" s="469"/>
      <c r="D237" s="479"/>
      <c r="E237" s="480"/>
      <c r="F237" s="480"/>
      <c r="G237" s="460"/>
      <c r="H237" s="463"/>
      <c r="I237" s="499"/>
      <c r="J237" s="463"/>
      <c r="K237" s="464"/>
      <c r="L237" s="464"/>
      <c r="M237" s="464"/>
      <c r="N237" s="609"/>
    </row>
    <row r="238" spans="1:14" s="493" customFormat="1" ht="12.75">
      <c r="A238" s="467">
        <v>4.01</v>
      </c>
      <c r="B238" s="508" t="s">
        <v>511</v>
      </c>
      <c r="C238" s="469">
        <v>5230</v>
      </c>
      <c r="D238" s="479" t="s">
        <v>30</v>
      </c>
      <c r="E238" s="488">
        <v>70</v>
      </c>
      <c r="F238" s="488">
        <v>366100</v>
      </c>
      <c r="G238" s="460">
        <v>5230</v>
      </c>
      <c r="H238" s="472"/>
      <c r="I238" s="472">
        <f t="shared" ref="I238" si="186">G238+H238</f>
        <v>5230</v>
      </c>
      <c r="J238" s="473">
        <f t="shared" ref="J238" si="187">I238/C238</f>
        <v>1</v>
      </c>
      <c r="K238" s="474">
        <f t="shared" ref="K238" si="188">G238*E238</f>
        <v>366100</v>
      </c>
      <c r="L238" s="474">
        <f t="shared" ref="L238" si="189">H238*E238</f>
        <v>0</v>
      </c>
      <c r="M238" s="474">
        <f t="shared" ref="M238" si="190">K238+L238</f>
        <v>366100</v>
      </c>
      <c r="N238" s="609"/>
    </row>
    <row r="239" spans="1:14">
      <c r="A239" s="476">
        <v>5</v>
      </c>
      <c r="B239" s="506" t="s">
        <v>483</v>
      </c>
      <c r="C239" s="507"/>
      <c r="D239" s="497"/>
      <c r="E239" s="498"/>
      <c r="F239" s="498"/>
      <c r="G239" s="463"/>
      <c r="H239" s="463"/>
      <c r="I239" s="499"/>
      <c r="J239" s="463"/>
      <c r="K239" s="464"/>
      <c r="L239" s="464"/>
      <c r="M239" s="464"/>
      <c r="N239" s="609"/>
    </row>
    <row r="240" spans="1:14" s="446" customFormat="1" ht="12.75">
      <c r="A240" s="467">
        <v>5.01</v>
      </c>
      <c r="B240" s="508" t="s">
        <v>512</v>
      </c>
      <c r="C240" s="469">
        <v>239.99</v>
      </c>
      <c r="D240" s="479" t="s">
        <v>30</v>
      </c>
      <c r="E240" s="488">
        <v>11296.038122772277</v>
      </c>
      <c r="F240" s="488">
        <v>2710936.1890841192</v>
      </c>
      <c r="G240" s="460">
        <v>239.99</v>
      </c>
      <c r="H240" s="472"/>
      <c r="I240" s="472">
        <f t="shared" ref="I240:I241" si="191">G240+H240</f>
        <v>239.99</v>
      </c>
      <c r="J240" s="473">
        <f t="shared" ref="J240:J241" si="192">I240/C240</f>
        <v>1</v>
      </c>
      <c r="K240" s="474">
        <f t="shared" ref="K240:K241" si="193">G240*E240</f>
        <v>2710936.1890841192</v>
      </c>
      <c r="L240" s="474">
        <f t="shared" ref="L240:L241" si="194">H240*E240</f>
        <v>0</v>
      </c>
      <c r="M240" s="474">
        <f t="shared" ref="M240:M241" si="195">K240+L240</f>
        <v>2710936.1890841192</v>
      </c>
      <c r="N240" s="609"/>
    </row>
    <row r="241" spans="1:14">
      <c r="A241" s="467">
        <v>5.0199999999999996</v>
      </c>
      <c r="B241" s="508" t="s">
        <v>485</v>
      </c>
      <c r="C241" s="469">
        <v>33</v>
      </c>
      <c r="D241" s="479" t="s">
        <v>50</v>
      </c>
      <c r="E241" s="488">
        <v>6509.6</v>
      </c>
      <c r="F241" s="488">
        <v>214816.80000000002</v>
      </c>
      <c r="G241" s="460">
        <v>33</v>
      </c>
      <c r="H241" s="472"/>
      <c r="I241" s="472">
        <f t="shared" si="191"/>
        <v>33</v>
      </c>
      <c r="J241" s="473">
        <f t="shared" si="192"/>
        <v>1</v>
      </c>
      <c r="K241" s="474">
        <f t="shared" si="193"/>
        <v>214816.80000000002</v>
      </c>
      <c r="L241" s="474">
        <f t="shared" si="194"/>
        <v>0</v>
      </c>
      <c r="M241" s="474">
        <f t="shared" si="195"/>
        <v>214816.80000000002</v>
      </c>
      <c r="N241" s="609"/>
    </row>
    <row r="242" spans="1:14" s="493" customFormat="1" ht="12.75">
      <c r="A242" s="476">
        <v>6</v>
      </c>
      <c r="B242" s="506" t="s">
        <v>486</v>
      </c>
      <c r="C242" s="496"/>
      <c r="D242" s="497"/>
      <c r="E242" s="498"/>
      <c r="F242" s="498"/>
      <c r="G242" s="482"/>
      <c r="H242" s="482"/>
      <c r="I242" s="527"/>
      <c r="J242" s="482"/>
      <c r="K242" s="528"/>
      <c r="L242" s="529"/>
      <c r="M242" s="529"/>
      <c r="N242" s="609"/>
    </row>
    <row r="243" spans="1:14">
      <c r="A243" s="467">
        <v>6.01</v>
      </c>
      <c r="B243" s="508" t="s">
        <v>513</v>
      </c>
      <c r="C243" s="469">
        <v>3</v>
      </c>
      <c r="D243" s="479" t="s">
        <v>50</v>
      </c>
      <c r="E243" s="488">
        <v>10060.903930799999</v>
      </c>
      <c r="F243" s="488">
        <v>30182.711792399998</v>
      </c>
      <c r="G243" s="460">
        <v>3</v>
      </c>
      <c r="H243" s="472"/>
      <c r="I243" s="472">
        <f t="shared" ref="I243:I245" si="196">G243+H243</f>
        <v>3</v>
      </c>
      <c r="J243" s="473">
        <f t="shared" ref="J243:J245" si="197">I243/C243</f>
        <v>1</v>
      </c>
      <c r="K243" s="474">
        <f t="shared" ref="K243:K245" si="198">G243*E243</f>
        <v>30182.711792399998</v>
      </c>
      <c r="L243" s="474">
        <f t="shared" ref="L243:L245" si="199">H243*E243</f>
        <v>0</v>
      </c>
      <c r="M243" s="474">
        <f t="shared" ref="M243:M245" si="200">K243+L243</f>
        <v>30182.711792399998</v>
      </c>
      <c r="N243" s="609"/>
    </row>
    <row r="244" spans="1:14" s="446" customFormat="1" ht="12.75">
      <c r="A244" s="467">
        <v>6.02</v>
      </c>
      <c r="B244" s="508" t="s">
        <v>514</v>
      </c>
      <c r="C244" s="469">
        <v>4</v>
      </c>
      <c r="D244" s="479" t="s">
        <v>50</v>
      </c>
      <c r="E244" s="488">
        <v>10208.77</v>
      </c>
      <c r="F244" s="488">
        <v>40835.08</v>
      </c>
      <c r="G244" s="460">
        <v>2</v>
      </c>
      <c r="H244" s="472"/>
      <c r="I244" s="472">
        <f t="shared" si="196"/>
        <v>2</v>
      </c>
      <c r="J244" s="473">
        <f t="shared" si="197"/>
        <v>0.5</v>
      </c>
      <c r="K244" s="474">
        <f t="shared" si="198"/>
        <v>20417.54</v>
      </c>
      <c r="L244" s="474">
        <f t="shared" si="199"/>
        <v>0</v>
      </c>
      <c r="M244" s="474">
        <f t="shared" si="200"/>
        <v>20417.54</v>
      </c>
      <c r="N244" s="609"/>
    </row>
    <row r="245" spans="1:14" s="446" customFormat="1" ht="12.75">
      <c r="A245" s="489">
        <v>6.03</v>
      </c>
      <c r="B245" s="508" t="s">
        <v>515</v>
      </c>
      <c r="C245" s="469">
        <v>4</v>
      </c>
      <c r="D245" s="479" t="s">
        <v>50</v>
      </c>
      <c r="E245" s="488">
        <v>5466.2849999999999</v>
      </c>
      <c r="F245" s="488">
        <v>21865.14</v>
      </c>
      <c r="G245" s="460">
        <v>0</v>
      </c>
      <c r="H245" s="472"/>
      <c r="I245" s="472">
        <f t="shared" si="196"/>
        <v>0</v>
      </c>
      <c r="J245" s="473">
        <f t="shared" si="197"/>
        <v>0</v>
      </c>
      <c r="K245" s="474">
        <f t="shared" si="198"/>
        <v>0</v>
      </c>
      <c r="L245" s="474">
        <f t="shared" si="199"/>
        <v>0</v>
      </c>
      <c r="M245" s="474">
        <f t="shared" si="200"/>
        <v>0</v>
      </c>
      <c r="N245" s="609"/>
    </row>
    <row r="246" spans="1:14" s="493" customFormat="1" ht="12.75">
      <c r="A246" s="476">
        <v>7</v>
      </c>
      <c r="B246" s="506" t="s">
        <v>487</v>
      </c>
      <c r="C246" s="496"/>
      <c r="D246" s="497"/>
      <c r="E246" s="498"/>
      <c r="F246" s="498"/>
      <c r="G246" s="482"/>
      <c r="H246" s="482"/>
      <c r="I246" s="527"/>
      <c r="J246" s="482"/>
      <c r="K246" s="528"/>
      <c r="L246" s="529"/>
      <c r="M246" s="529"/>
      <c r="N246" s="609"/>
    </row>
    <row r="247" spans="1:14" s="446" customFormat="1" ht="24">
      <c r="A247" s="467">
        <v>7.01</v>
      </c>
      <c r="B247" s="508" t="s">
        <v>501</v>
      </c>
      <c r="C247" s="469">
        <v>1</v>
      </c>
      <c r="D247" s="479" t="s">
        <v>50</v>
      </c>
      <c r="E247" s="488">
        <v>8546.7800000000007</v>
      </c>
      <c r="F247" s="488">
        <v>8546.7800000000007</v>
      </c>
      <c r="G247" s="460">
        <v>1</v>
      </c>
      <c r="H247" s="472"/>
      <c r="I247" s="472">
        <f t="shared" ref="I247:I251" si="201">G247+H247</f>
        <v>1</v>
      </c>
      <c r="J247" s="473">
        <f t="shared" ref="J247:J251" si="202">I247/C247</f>
        <v>1</v>
      </c>
      <c r="K247" s="474">
        <f t="shared" ref="K247:K251" si="203">G247*E247</f>
        <v>8546.7800000000007</v>
      </c>
      <c r="L247" s="474">
        <f t="shared" ref="L247:L251" si="204">H247*E247</f>
        <v>0</v>
      </c>
      <c r="M247" s="474">
        <f t="shared" ref="M247:M251" si="205">K247+L247</f>
        <v>8546.7800000000007</v>
      </c>
      <c r="N247" s="609"/>
    </row>
    <row r="248" spans="1:14" s="446" customFormat="1" ht="12.75">
      <c r="A248" s="467">
        <v>7.02</v>
      </c>
      <c r="B248" s="508" t="s">
        <v>502</v>
      </c>
      <c r="C248" s="469">
        <v>2</v>
      </c>
      <c r="D248" s="479" t="s">
        <v>50</v>
      </c>
      <c r="E248" s="488">
        <v>16559.57</v>
      </c>
      <c r="F248" s="488">
        <v>33119.14</v>
      </c>
      <c r="G248" s="460">
        <v>2</v>
      </c>
      <c r="H248" s="472"/>
      <c r="I248" s="472">
        <f t="shared" si="201"/>
        <v>2</v>
      </c>
      <c r="J248" s="473">
        <f t="shared" si="202"/>
        <v>1</v>
      </c>
      <c r="K248" s="474">
        <f t="shared" si="203"/>
        <v>33119.14</v>
      </c>
      <c r="L248" s="474">
        <f t="shared" si="204"/>
        <v>0</v>
      </c>
      <c r="M248" s="474">
        <f t="shared" si="205"/>
        <v>33119.14</v>
      </c>
      <c r="N248" s="609"/>
    </row>
    <row r="249" spans="1:14" ht="24">
      <c r="A249" s="467">
        <v>7.03</v>
      </c>
      <c r="B249" s="508" t="s">
        <v>516</v>
      </c>
      <c r="C249" s="469">
        <v>4</v>
      </c>
      <c r="D249" s="479" t="s">
        <v>50</v>
      </c>
      <c r="E249" s="488">
        <v>28581.41</v>
      </c>
      <c r="F249" s="488">
        <v>114325.64</v>
      </c>
      <c r="G249" s="460">
        <v>4</v>
      </c>
      <c r="H249" s="472"/>
      <c r="I249" s="472">
        <f t="shared" si="201"/>
        <v>4</v>
      </c>
      <c r="J249" s="473">
        <f t="shared" si="202"/>
        <v>1</v>
      </c>
      <c r="K249" s="474">
        <f t="shared" si="203"/>
        <v>114325.64</v>
      </c>
      <c r="L249" s="474">
        <f t="shared" si="204"/>
        <v>0</v>
      </c>
      <c r="M249" s="474">
        <f t="shared" si="205"/>
        <v>114325.64</v>
      </c>
      <c r="N249" s="609"/>
    </row>
    <row r="250" spans="1:14" s="533" customFormat="1" ht="17.100000000000001" customHeight="1">
      <c r="A250" s="489">
        <v>7.04</v>
      </c>
      <c r="B250" s="508" t="s">
        <v>517</v>
      </c>
      <c r="C250" s="490">
        <v>3</v>
      </c>
      <c r="D250" s="479" t="s">
        <v>50</v>
      </c>
      <c r="E250" s="491">
        <v>77516.710000000006</v>
      </c>
      <c r="F250" s="491">
        <v>232550.13</v>
      </c>
      <c r="G250" s="460">
        <v>0</v>
      </c>
      <c r="H250" s="472"/>
      <c r="I250" s="472">
        <f t="shared" si="201"/>
        <v>0</v>
      </c>
      <c r="J250" s="473">
        <f t="shared" si="202"/>
        <v>0</v>
      </c>
      <c r="K250" s="474">
        <f t="shared" si="203"/>
        <v>0</v>
      </c>
      <c r="L250" s="474">
        <f t="shared" si="204"/>
        <v>0</v>
      </c>
      <c r="M250" s="474">
        <f t="shared" si="205"/>
        <v>0</v>
      </c>
      <c r="N250" s="609"/>
    </row>
    <row r="251" spans="1:14">
      <c r="A251" s="467">
        <v>7.05</v>
      </c>
      <c r="B251" s="508" t="s">
        <v>518</v>
      </c>
      <c r="C251" s="469">
        <v>3</v>
      </c>
      <c r="D251" s="479" t="s">
        <v>50</v>
      </c>
      <c r="E251" s="488">
        <v>32175</v>
      </c>
      <c r="F251" s="488">
        <v>96525</v>
      </c>
      <c r="G251" s="460">
        <v>0</v>
      </c>
      <c r="H251" s="472"/>
      <c r="I251" s="472">
        <f t="shared" si="201"/>
        <v>0</v>
      </c>
      <c r="J251" s="473">
        <f t="shared" si="202"/>
        <v>0</v>
      </c>
      <c r="K251" s="474">
        <f t="shared" si="203"/>
        <v>0</v>
      </c>
      <c r="L251" s="474">
        <f t="shared" si="204"/>
        <v>0</v>
      </c>
      <c r="M251" s="474">
        <f t="shared" si="205"/>
        <v>0</v>
      </c>
      <c r="N251" s="609"/>
    </row>
    <row r="252" spans="1:14" s="493" customFormat="1" ht="12.75">
      <c r="A252" s="476">
        <v>8</v>
      </c>
      <c r="B252" s="506" t="s">
        <v>519</v>
      </c>
      <c r="C252" s="496"/>
      <c r="D252" s="497"/>
      <c r="E252" s="481"/>
      <c r="F252" s="481"/>
      <c r="G252" s="482"/>
      <c r="H252" s="482"/>
      <c r="I252" s="527"/>
      <c r="J252" s="482"/>
      <c r="K252" s="528"/>
      <c r="L252" s="529"/>
      <c r="M252" s="529"/>
      <c r="N252" s="609"/>
    </row>
    <row r="253" spans="1:14" s="446" customFormat="1" ht="12.75">
      <c r="A253" s="467">
        <v>8.01</v>
      </c>
      <c r="B253" s="508" t="s">
        <v>520</v>
      </c>
      <c r="C253" s="469">
        <v>426.15</v>
      </c>
      <c r="D253" s="479" t="s">
        <v>38</v>
      </c>
      <c r="E253" s="488">
        <v>198</v>
      </c>
      <c r="F253" s="488">
        <v>84377.7</v>
      </c>
      <c r="G253" s="460">
        <v>426.15</v>
      </c>
      <c r="H253" s="472"/>
      <c r="I253" s="472">
        <f t="shared" ref="I253:I270" si="206">G253+H253</f>
        <v>426.15</v>
      </c>
      <c r="J253" s="473">
        <f t="shared" ref="J253:J270" si="207">I253/C253</f>
        <v>1</v>
      </c>
      <c r="K253" s="474">
        <f t="shared" ref="K253:K270" si="208">G253*E253</f>
        <v>84377.7</v>
      </c>
      <c r="L253" s="474">
        <f t="shared" ref="L253:L270" si="209">H253*E253</f>
        <v>0</v>
      </c>
      <c r="M253" s="474">
        <f t="shared" ref="M253:M270" si="210">K253+L253</f>
        <v>84377.7</v>
      </c>
      <c r="N253" s="609"/>
    </row>
    <row r="254" spans="1:14" s="446" customFormat="1" ht="12.75">
      <c r="A254" s="467">
        <v>8.02</v>
      </c>
      <c r="B254" s="508" t="s">
        <v>521</v>
      </c>
      <c r="C254" s="469">
        <v>554</v>
      </c>
      <c r="D254" s="479" t="s">
        <v>38</v>
      </c>
      <c r="E254" s="488">
        <v>247.5</v>
      </c>
      <c r="F254" s="488">
        <v>137115</v>
      </c>
      <c r="G254" s="460">
        <v>554</v>
      </c>
      <c r="H254" s="472"/>
      <c r="I254" s="472">
        <f t="shared" si="206"/>
        <v>554</v>
      </c>
      <c r="J254" s="473">
        <f t="shared" si="207"/>
        <v>1</v>
      </c>
      <c r="K254" s="474">
        <f t="shared" si="208"/>
        <v>137115</v>
      </c>
      <c r="L254" s="474">
        <f t="shared" si="209"/>
        <v>0</v>
      </c>
      <c r="M254" s="474">
        <f t="shared" si="210"/>
        <v>137115</v>
      </c>
      <c r="N254" s="609"/>
    </row>
    <row r="255" spans="1:14" ht="36">
      <c r="A255" s="467">
        <v>8.0299999999999994</v>
      </c>
      <c r="B255" s="508" t="s">
        <v>401</v>
      </c>
      <c r="C255" s="469">
        <v>13.25</v>
      </c>
      <c r="D255" s="479" t="s">
        <v>38</v>
      </c>
      <c r="E255" s="488">
        <v>24552.52</v>
      </c>
      <c r="F255" s="488">
        <v>325320.89</v>
      </c>
      <c r="G255" s="460">
        <v>0</v>
      </c>
      <c r="H255" s="472"/>
      <c r="I255" s="472">
        <f t="shared" si="206"/>
        <v>0</v>
      </c>
      <c r="J255" s="473">
        <f t="shared" si="207"/>
        <v>0</v>
      </c>
      <c r="K255" s="474">
        <f t="shared" si="208"/>
        <v>0</v>
      </c>
      <c r="L255" s="474">
        <f t="shared" si="209"/>
        <v>0</v>
      </c>
      <c r="M255" s="474">
        <f t="shared" si="210"/>
        <v>0</v>
      </c>
      <c r="N255" s="609"/>
    </row>
    <row r="256" spans="1:14" s="515" customFormat="1" ht="12.75">
      <c r="A256" s="489">
        <v>8.0399999999999991</v>
      </c>
      <c r="B256" s="508" t="s">
        <v>522</v>
      </c>
      <c r="C256" s="490">
        <v>0.79</v>
      </c>
      <c r="D256" s="479" t="s">
        <v>38</v>
      </c>
      <c r="E256" s="491">
        <v>18365.16</v>
      </c>
      <c r="F256" s="491"/>
      <c r="G256" s="460">
        <v>0</v>
      </c>
      <c r="H256" s="472"/>
      <c r="I256" s="472">
        <f t="shared" si="206"/>
        <v>0</v>
      </c>
      <c r="J256" s="473">
        <f t="shared" si="207"/>
        <v>0</v>
      </c>
      <c r="K256" s="474">
        <f t="shared" si="208"/>
        <v>0</v>
      </c>
      <c r="L256" s="474">
        <f t="shared" si="209"/>
        <v>0</v>
      </c>
      <c r="M256" s="474">
        <f t="shared" si="210"/>
        <v>0</v>
      </c>
      <c r="N256" s="609"/>
    </row>
    <row r="257" spans="1:14" s="515" customFormat="1" ht="24">
      <c r="A257" s="489">
        <v>8.0500000000000007</v>
      </c>
      <c r="B257" s="508" t="s">
        <v>403</v>
      </c>
      <c r="C257" s="490">
        <v>0.63</v>
      </c>
      <c r="D257" s="479" t="s">
        <v>38</v>
      </c>
      <c r="E257" s="491">
        <v>29027.83</v>
      </c>
      <c r="F257" s="491">
        <v>18287.532900000002</v>
      </c>
      <c r="G257" s="460">
        <v>0</v>
      </c>
      <c r="H257" s="472"/>
      <c r="I257" s="472">
        <f t="shared" si="206"/>
        <v>0</v>
      </c>
      <c r="J257" s="473">
        <f t="shared" si="207"/>
        <v>0</v>
      </c>
      <c r="K257" s="474">
        <f t="shared" si="208"/>
        <v>0</v>
      </c>
      <c r="L257" s="474">
        <f t="shared" si="209"/>
        <v>0</v>
      </c>
      <c r="M257" s="474">
        <f t="shared" si="210"/>
        <v>0</v>
      </c>
      <c r="N257" s="609"/>
    </row>
    <row r="258" spans="1:14" s="493" customFormat="1" ht="24">
      <c r="A258" s="467">
        <v>8.06</v>
      </c>
      <c r="B258" s="508" t="s">
        <v>404</v>
      </c>
      <c r="C258" s="469">
        <v>1.9</v>
      </c>
      <c r="D258" s="479" t="s">
        <v>38</v>
      </c>
      <c r="E258" s="488">
        <v>36474.19</v>
      </c>
      <c r="F258" s="488">
        <v>69300.960999999996</v>
      </c>
      <c r="G258" s="460">
        <v>0</v>
      </c>
      <c r="H258" s="472"/>
      <c r="I258" s="472">
        <f t="shared" si="206"/>
        <v>0</v>
      </c>
      <c r="J258" s="473">
        <f t="shared" si="207"/>
        <v>0</v>
      </c>
      <c r="K258" s="474">
        <f t="shared" si="208"/>
        <v>0</v>
      </c>
      <c r="L258" s="474">
        <f t="shared" si="209"/>
        <v>0</v>
      </c>
      <c r="M258" s="474">
        <f t="shared" si="210"/>
        <v>0</v>
      </c>
      <c r="N258" s="609"/>
    </row>
    <row r="259" spans="1:14" ht="24">
      <c r="A259" s="467">
        <v>8.07</v>
      </c>
      <c r="B259" s="508" t="s">
        <v>405</v>
      </c>
      <c r="C259" s="469">
        <v>4.54</v>
      </c>
      <c r="D259" s="479" t="s">
        <v>38</v>
      </c>
      <c r="E259" s="488">
        <v>36417.410000000003</v>
      </c>
      <c r="F259" s="488">
        <v>165335.04140000002</v>
      </c>
      <c r="G259" s="460">
        <v>0</v>
      </c>
      <c r="H259" s="472"/>
      <c r="I259" s="472">
        <f t="shared" si="206"/>
        <v>0</v>
      </c>
      <c r="J259" s="473">
        <f t="shared" si="207"/>
        <v>0</v>
      </c>
      <c r="K259" s="474">
        <f t="shared" si="208"/>
        <v>0</v>
      </c>
      <c r="L259" s="474">
        <f t="shared" si="209"/>
        <v>0</v>
      </c>
      <c r="M259" s="474">
        <f t="shared" si="210"/>
        <v>0</v>
      </c>
      <c r="N259" s="609"/>
    </row>
    <row r="260" spans="1:14" ht="36">
      <c r="A260" s="467">
        <v>8.08</v>
      </c>
      <c r="B260" s="508" t="s">
        <v>406</v>
      </c>
      <c r="C260" s="469">
        <v>55.93</v>
      </c>
      <c r="D260" s="479" t="s">
        <v>38</v>
      </c>
      <c r="E260" s="488">
        <v>28116.17</v>
      </c>
      <c r="F260" s="488">
        <v>1572537.3880999999</v>
      </c>
      <c r="G260" s="460">
        <v>0</v>
      </c>
      <c r="H260" s="472"/>
      <c r="I260" s="472">
        <f t="shared" si="206"/>
        <v>0</v>
      </c>
      <c r="J260" s="473">
        <f t="shared" si="207"/>
        <v>0</v>
      </c>
      <c r="K260" s="474">
        <f t="shared" si="208"/>
        <v>0</v>
      </c>
      <c r="L260" s="474">
        <f t="shared" si="209"/>
        <v>0</v>
      </c>
      <c r="M260" s="474">
        <f t="shared" si="210"/>
        <v>0</v>
      </c>
      <c r="N260" s="609"/>
    </row>
    <row r="261" spans="1:14" ht="24">
      <c r="A261" s="467">
        <v>8.09</v>
      </c>
      <c r="B261" s="508" t="s">
        <v>407</v>
      </c>
      <c r="C261" s="469">
        <v>23.81</v>
      </c>
      <c r="D261" s="479" t="s">
        <v>38</v>
      </c>
      <c r="E261" s="488">
        <v>28998.11</v>
      </c>
      <c r="F261" s="488">
        <v>690444.99910000002</v>
      </c>
      <c r="G261" s="460">
        <v>0</v>
      </c>
      <c r="H261" s="472"/>
      <c r="I261" s="472">
        <f t="shared" si="206"/>
        <v>0</v>
      </c>
      <c r="J261" s="473">
        <f t="shared" si="207"/>
        <v>0</v>
      </c>
      <c r="K261" s="474">
        <f t="shared" si="208"/>
        <v>0</v>
      </c>
      <c r="L261" s="474">
        <f t="shared" si="209"/>
        <v>0</v>
      </c>
      <c r="M261" s="474">
        <f t="shared" si="210"/>
        <v>0</v>
      </c>
      <c r="N261" s="609"/>
    </row>
    <row r="262" spans="1:14" ht="24">
      <c r="A262" s="512">
        <v>8.1</v>
      </c>
      <c r="B262" s="508" t="s">
        <v>408</v>
      </c>
      <c r="C262" s="469">
        <v>42.34</v>
      </c>
      <c r="D262" s="479" t="s">
        <v>38</v>
      </c>
      <c r="E262" s="488">
        <v>27122.45</v>
      </c>
      <c r="F262" s="488">
        <v>1148364.5330000001</v>
      </c>
      <c r="G262" s="460">
        <v>0</v>
      </c>
      <c r="H262" s="472"/>
      <c r="I262" s="472">
        <f t="shared" si="206"/>
        <v>0</v>
      </c>
      <c r="J262" s="473">
        <f t="shared" si="207"/>
        <v>0</v>
      </c>
      <c r="K262" s="474">
        <f t="shared" si="208"/>
        <v>0</v>
      </c>
      <c r="L262" s="474">
        <f t="shared" si="209"/>
        <v>0</v>
      </c>
      <c r="M262" s="474">
        <f t="shared" si="210"/>
        <v>0</v>
      </c>
      <c r="N262" s="609"/>
    </row>
    <row r="263" spans="1:14">
      <c r="A263" s="467">
        <v>8.11</v>
      </c>
      <c r="B263" s="508" t="s">
        <v>409</v>
      </c>
      <c r="C263" s="469">
        <v>1</v>
      </c>
      <c r="D263" s="479" t="s">
        <v>50</v>
      </c>
      <c r="E263" s="488">
        <v>1136.3800000000001</v>
      </c>
      <c r="F263" s="488">
        <v>1136.3800000000001</v>
      </c>
      <c r="G263" s="460">
        <v>0</v>
      </c>
      <c r="H263" s="472"/>
      <c r="I263" s="472">
        <f t="shared" si="206"/>
        <v>0</v>
      </c>
      <c r="J263" s="473">
        <f t="shared" si="207"/>
        <v>0</v>
      </c>
      <c r="K263" s="474">
        <f t="shared" si="208"/>
        <v>0</v>
      </c>
      <c r="L263" s="474">
        <f t="shared" si="209"/>
        <v>0</v>
      </c>
      <c r="M263" s="474">
        <f t="shared" si="210"/>
        <v>0</v>
      </c>
      <c r="N263" s="609"/>
    </row>
    <row r="264" spans="1:14" s="493" customFormat="1" ht="12.75">
      <c r="A264" s="467">
        <v>8.1199999999999992</v>
      </c>
      <c r="B264" s="508" t="s">
        <v>410</v>
      </c>
      <c r="C264" s="469">
        <v>1</v>
      </c>
      <c r="D264" s="479" t="s">
        <v>50</v>
      </c>
      <c r="E264" s="488">
        <v>26414.32</v>
      </c>
      <c r="F264" s="488">
        <v>26414.32</v>
      </c>
      <c r="G264" s="460">
        <v>0</v>
      </c>
      <c r="H264" s="472"/>
      <c r="I264" s="472">
        <f t="shared" si="206"/>
        <v>0</v>
      </c>
      <c r="J264" s="473">
        <f t="shared" si="207"/>
        <v>0</v>
      </c>
      <c r="K264" s="474">
        <f t="shared" si="208"/>
        <v>0</v>
      </c>
      <c r="L264" s="474">
        <f t="shared" si="209"/>
        <v>0</v>
      </c>
      <c r="M264" s="474">
        <f t="shared" si="210"/>
        <v>0</v>
      </c>
      <c r="N264" s="609"/>
    </row>
    <row r="265" spans="1:14">
      <c r="A265" s="467">
        <v>8.1300000000000008</v>
      </c>
      <c r="B265" s="508" t="s">
        <v>523</v>
      </c>
      <c r="C265" s="469">
        <v>1</v>
      </c>
      <c r="D265" s="479" t="s">
        <v>50</v>
      </c>
      <c r="E265" s="488">
        <v>26414.32</v>
      </c>
      <c r="F265" s="488">
        <v>26414.32</v>
      </c>
      <c r="G265" s="460">
        <v>0</v>
      </c>
      <c r="H265" s="472"/>
      <c r="I265" s="472">
        <f t="shared" si="206"/>
        <v>0</v>
      </c>
      <c r="J265" s="473">
        <f t="shared" si="207"/>
        <v>0</v>
      </c>
      <c r="K265" s="474">
        <f t="shared" si="208"/>
        <v>0</v>
      </c>
      <c r="L265" s="474">
        <f t="shared" si="209"/>
        <v>0</v>
      </c>
      <c r="M265" s="474">
        <f t="shared" si="210"/>
        <v>0</v>
      </c>
      <c r="N265" s="609"/>
    </row>
    <row r="266" spans="1:14">
      <c r="A266" s="467">
        <v>8.14</v>
      </c>
      <c r="B266" s="508" t="s">
        <v>411</v>
      </c>
      <c r="C266" s="469">
        <v>333.6</v>
      </c>
      <c r="D266" s="479" t="s">
        <v>189</v>
      </c>
      <c r="E266" s="488">
        <v>648.71</v>
      </c>
      <c r="F266" s="488">
        <v>216409.65600000002</v>
      </c>
      <c r="G266" s="460">
        <v>0</v>
      </c>
      <c r="H266" s="472"/>
      <c r="I266" s="472">
        <f t="shared" si="206"/>
        <v>0</v>
      </c>
      <c r="J266" s="473">
        <f t="shared" si="207"/>
        <v>0</v>
      </c>
      <c r="K266" s="474">
        <f t="shared" si="208"/>
        <v>0</v>
      </c>
      <c r="L266" s="474">
        <f t="shared" si="209"/>
        <v>0</v>
      </c>
      <c r="M266" s="474">
        <f t="shared" si="210"/>
        <v>0</v>
      </c>
      <c r="N266" s="609"/>
    </row>
    <row r="267" spans="1:14">
      <c r="A267" s="467">
        <v>8.15</v>
      </c>
      <c r="B267" s="508" t="s">
        <v>524</v>
      </c>
      <c r="C267" s="469">
        <v>96</v>
      </c>
      <c r="D267" s="479" t="s">
        <v>189</v>
      </c>
      <c r="E267" s="488">
        <v>648.71</v>
      </c>
      <c r="F267" s="488">
        <v>62276.160000000003</v>
      </c>
      <c r="G267" s="460">
        <v>0</v>
      </c>
      <c r="H267" s="472"/>
      <c r="I267" s="472">
        <f t="shared" si="206"/>
        <v>0</v>
      </c>
      <c r="J267" s="473">
        <f t="shared" si="207"/>
        <v>0</v>
      </c>
      <c r="K267" s="474">
        <f t="shared" si="208"/>
        <v>0</v>
      </c>
      <c r="L267" s="474">
        <f t="shared" si="209"/>
        <v>0</v>
      </c>
      <c r="M267" s="474">
        <f t="shared" si="210"/>
        <v>0</v>
      </c>
      <c r="N267" s="609"/>
    </row>
    <row r="268" spans="1:14">
      <c r="A268" s="467">
        <v>8.16</v>
      </c>
      <c r="B268" s="508" t="s">
        <v>270</v>
      </c>
      <c r="C268" s="469">
        <v>333.6</v>
      </c>
      <c r="D268" s="479" t="s">
        <v>189</v>
      </c>
      <c r="E268" s="488">
        <v>84.69</v>
      </c>
      <c r="F268" s="488">
        <v>28252.584000000003</v>
      </c>
      <c r="G268" s="460">
        <v>0</v>
      </c>
      <c r="H268" s="472"/>
      <c r="I268" s="472">
        <f t="shared" si="206"/>
        <v>0</v>
      </c>
      <c r="J268" s="473">
        <f t="shared" si="207"/>
        <v>0</v>
      </c>
      <c r="K268" s="474">
        <f t="shared" si="208"/>
        <v>0</v>
      </c>
      <c r="L268" s="474">
        <f t="shared" si="209"/>
        <v>0</v>
      </c>
      <c r="M268" s="474">
        <f t="shared" si="210"/>
        <v>0</v>
      </c>
      <c r="N268" s="609"/>
    </row>
    <row r="269" spans="1:14">
      <c r="A269" s="467">
        <v>8.17</v>
      </c>
      <c r="B269" s="508" t="s">
        <v>412</v>
      </c>
      <c r="C269" s="469">
        <v>50.4</v>
      </c>
      <c r="D269" s="479" t="s">
        <v>30</v>
      </c>
      <c r="E269" s="488">
        <v>120.86</v>
      </c>
      <c r="F269" s="488">
        <v>6091.3440000000001</v>
      </c>
      <c r="G269" s="460">
        <v>0</v>
      </c>
      <c r="H269" s="472"/>
      <c r="I269" s="472">
        <f t="shared" si="206"/>
        <v>0</v>
      </c>
      <c r="J269" s="473">
        <f t="shared" si="207"/>
        <v>0</v>
      </c>
      <c r="K269" s="474">
        <f t="shared" si="208"/>
        <v>0</v>
      </c>
      <c r="L269" s="474">
        <f t="shared" si="209"/>
        <v>0</v>
      </c>
      <c r="M269" s="474">
        <f t="shared" si="210"/>
        <v>0</v>
      </c>
      <c r="N269" s="609"/>
    </row>
    <row r="270" spans="1:14">
      <c r="A270" s="467">
        <v>8.18</v>
      </c>
      <c r="B270" s="508" t="s">
        <v>525</v>
      </c>
      <c r="C270" s="469">
        <v>1</v>
      </c>
      <c r="D270" s="479" t="s">
        <v>32</v>
      </c>
      <c r="E270" s="488">
        <v>7306.25</v>
      </c>
      <c r="F270" s="488">
        <v>7306.25</v>
      </c>
      <c r="G270" s="460">
        <v>0</v>
      </c>
      <c r="H270" s="472"/>
      <c r="I270" s="472">
        <f t="shared" si="206"/>
        <v>0</v>
      </c>
      <c r="J270" s="473">
        <f t="shared" si="207"/>
        <v>0</v>
      </c>
      <c r="K270" s="474">
        <f t="shared" si="208"/>
        <v>0</v>
      </c>
      <c r="L270" s="474">
        <f t="shared" si="209"/>
        <v>0</v>
      </c>
      <c r="M270" s="474">
        <f t="shared" si="210"/>
        <v>0</v>
      </c>
      <c r="N270" s="609"/>
    </row>
    <row r="271" spans="1:14" s="493" customFormat="1" ht="12.75">
      <c r="A271" s="476">
        <v>9</v>
      </c>
      <c r="B271" s="506" t="s">
        <v>414</v>
      </c>
      <c r="C271" s="496"/>
      <c r="D271" s="497"/>
      <c r="E271" s="498"/>
      <c r="F271" s="498"/>
      <c r="G271" s="502"/>
      <c r="H271" s="482"/>
      <c r="I271" s="527"/>
      <c r="J271" s="482"/>
      <c r="K271" s="528"/>
      <c r="L271" s="529"/>
      <c r="M271" s="529"/>
      <c r="N271" s="609"/>
    </row>
    <row r="272" spans="1:14" s="533" customFormat="1" ht="15" customHeight="1">
      <c r="A272" s="489">
        <v>9.01</v>
      </c>
      <c r="B272" s="508" t="s">
        <v>382</v>
      </c>
      <c r="C272" s="490">
        <v>135</v>
      </c>
      <c r="D272" s="479" t="s">
        <v>189</v>
      </c>
      <c r="E272" s="510">
        <v>280</v>
      </c>
      <c r="F272" s="491">
        <v>37800</v>
      </c>
      <c r="G272" s="460">
        <v>0</v>
      </c>
      <c r="H272" s="472"/>
      <c r="I272" s="472">
        <f t="shared" ref="I272" si="211">G272+H272</f>
        <v>0</v>
      </c>
      <c r="J272" s="473">
        <f t="shared" ref="J272" si="212">I272/C272</f>
        <v>0</v>
      </c>
      <c r="K272" s="474">
        <f t="shared" ref="K272" si="213">G272*E272</f>
        <v>0</v>
      </c>
      <c r="L272" s="474">
        <f t="shared" ref="L272" si="214">H272*E272</f>
        <v>0</v>
      </c>
      <c r="M272" s="474">
        <f t="shared" ref="M272:M273" si="215">K272+L272</f>
        <v>0</v>
      </c>
      <c r="N272" s="609"/>
    </row>
    <row r="273" spans="1:14" s="493" customFormat="1" ht="12.75">
      <c r="A273" s="526"/>
      <c r="B273" s="477" t="s">
        <v>44</v>
      </c>
      <c r="C273" s="507"/>
      <c r="D273" s="497"/>
      <c r="E273" s="498"/>
      <c r="F273" s="481">
        <f>SUM(F228:F272)</f>
        <v>25074349.540433329</v>
      </c>
      <c r="G273" s="502"/>
      <c r="H273" s="482"/>
      <c r="I273" s="527"/>
      <c r="J273" s="482"/>
      <c r="K273" s="547">
        <f>SUM(K228:K272)</f>
        <v>19885557.342926249</v>
      </c>
      <c r="L273" s="548">
        <f>SUM(L228:L272)</f>
        <v>0</v>
      </c>
      <c r="M273" s="548">
        <f t="shared" si="215"/>
        <v>19885557.342926249</v>
      </c>
      <c r="N273" s="609"/>
    </row>
    <row r="274" spans="1:14" s="493" customFormat="1" ht="24">
      <c r="A274" s="476" t="s">
        <v>26</v>
      </c>
      <c r="B274" s="506" t="s">
        <v>526</v>
      </c>
      <c r="C274" s="496"/>
      <c r="D274" s="497"/>
      <c r="E274" s="498"/>
      <c r="F274" s="498"/>
      <c r="G274" s="502"/>
      <c r="H274" s="482"/>
      <c r="I274" s="527"/>
      <c r="J274" s="482"/>
      <c r="K274" s="528"/>
      <c r="L274" s="529"/>
      <c r="M274" s="529"/>
      <c r="N274" s="609"/>
    </row>
    <row r="275" spans="1:14">
      <c r="A275" s="476">
        <v>1</v>
      </c>
      <c r="B275" s="506" t="s">
        <v>365</v>
      </c>
      <c r="C275" s="469"/>
      <c r="D275" s="479"/>
      <c r="E275" s="480"/>
      <c r="F275" s="480"/>
      <c r="G275" s="460"/>
      <c r="H275" s="463"/>
      <c r="I275" s="521"/>
      <c r="J275" s="487"/>
      <c r="K275" s="464"/>
      <c r="L275" s="464"/>
      <c r="M275" s="464"/>
      <c r="N275" s="609"/>
    </row>
    <row r="276" spans="1:14" s="493" customFormat="1" ht="12.75">
      <c r="A276" s="467">
        <v>1.01</v>
      </c>
      <c r="B276" s="508" t="s">
        <v>29</v>
      </c>
      <c r="C276" s="469">
        <v>3619</v>
      </c>
      <c r="D276" s="479" t="s">
        <v>264</v>
      </c>
      <c r="E276" s="488">
        <v>60</v>
      </c>
      <c r="F276" s="488">
        <v>217140</v>
      </c>
      <c r="G276" s="460">
        <v>3619</v>
      </c>
      <c r="H276" s="472"/>
      <c r="I276" s="472">
        <f t="shared" ref="I276:I277" si="216">G276+H276</f>
        <v>3619</v>
      </c>
      <c r="J276" s="473">
        <f t="shared" ref="J276:J277" si="217">I276/C276</f>
        <v>1</v>
      </c>
      <c r="K276" s="474">
        <f t="shared" ref="K276:K277" si="218">G276*E276</f>
        <v>217140</v>
      </c>
      <c r="L276" s="474">
        <f t="shared" ref="L276:L277" si="219">H276*E276</f>
        <v>0</v>
      </c>
      <c r="M276" s="474">
        <f t="shared" ref="M276:M277" si="220">K276+L276</f>
        <v>217140</v>
      </c>
      <c r="N276" s="609"/>
    </row>
    <row r="277" spans="1:14">
      <c r="A277" s="467">
        <v>1.02</v>
      </c>
      <c r="B277" s="508" t="s">
        <v>527</v>
      </c>
      <c r="C277" s="469">
        <v>66</v>
      </c>
      <c r="D277" s="479" t="s">
        <v>264</v>
      </c>
      <c r="E277" s="488">
        <v>60</v>
      </c>
      <c r="F277" s="488">
        <v>3960</v>
      </c>
      <c r="G277" s="460">
        <v>66</v>
      </c>
      <c r="H277" s="472"/>
      <c r="I277" s="472">
        <f t="shared" si="216"/>
        <v>66</v>
      </c>
      <c r="J277" s="473">
        <f t="shared" si="217"/>
        <v>1</v>
      </c>
      <c r="K277" s="474">
        <f t="shared" si="218"/>
        <v>3960</v>
      </c>
      <c r="L277" s="474">
        <f t="shared" si="219"/>
        <v>0</v>
      </c>
      <c r="M277" s="474">
        <f t="shared" si="220"/>
        <v>3960</v>
      </c>
      <c r="N277" s="609"/>
    </row>
    <row r="278" spans="1:14">
      <c r="A278" s="476">
        <v>2</v>
      </c>
      <c r="B278" s="506" t="s">
        <v>250</v>
      </c>
      <c r="C278" s="469"/>
      <c r="D278" s="479"/>
      <c r="E278" s="480"/>
      <c r="F278" s="480"/>
      <c r="G278" s="463"/>
      <c r="H278" s="463"/>
      <c r="I278" s="521"/>
      <c r="J278" s="487"/>
      <c r="K278" s="464"/>
      <c r="L278" s="464"/>
      <c r="M278" s="464"/>
      <c r="N278" s="609"/>
    </row>
    <row r="279" spans="1:14" s="493" customFormat="1" ht="12.75">
      <c r="A279" s="476"/>
      <c r="B279" s="506" t="s">
        <v>528</v>
      </c>
      <c r="C279" s="496"/>
      <c r="D279" s="497"/>
      <c r="E279" s="498"/>
      <c r="F279" s="498"/>
      <c r="G279" s="502"/>
      <c r="H279" s="482"/>
      <c r="I279" s="527"/>
      <c r="J279" s="551"/>
      <c r="K279" s="503"/>
      <c r="L279" s="503"/>
      <c r="M279" s="503"/>
      <c r="N279" s="609"/>
    </row>
    <row r="280" spans="1:14">
      <c r="A280" s="467">
        <v>2.0099999999999998</v>
      </c>
      <c r="B280" s="508" t="s">
        <v>529</v>
      </c>
      <c r="C280" s="469">
        <v>2388.5400000000004</v>
      </c>
      <c r="D280" s="479" t="s">
        <v>38</v>
      </c>
      <c r="E280" s="505">
        <v>198</v>
      </c>
      <c r="F280" s="488">
        <v>472930.92</v>
      </c>
      <c r="G280" s="460">
        <v>2388.54</v>
      </c>
      <c r="H280" s="472"/>
      <c r="I280" s="472">
        <f t="shared" ref="I280:I284" si="221">G280+H280</f>
        <v>2388.54</v>
      </c>
      <c r="J280" s="473">
        <f t="shared" ref="J280:J284" si="222">I280/C280</f>
        <v>0.99999999999999978</v>
      </c>
      <c r="K280" s="474">
        <f t="shared" ref="K280:K284" si="223">G280*E280</f>
        <v>472930.92</v>
      </c>
      <c r="L280" s="474">
        <f t="shared" ref="L280:L284" si="224">H280*E280</f>
        <v>0</v>
      </c>
      <c r="M280" s="474">
        <f t="shared" ref="M280:M284" si="225">K280+L280</f>
        <v>472930.92</v>
      </c>
      <c r="N280" s="609"/>
    </row>
    <row r="281" spans="1:14">
      <c r="A281" s="467">
        <v>2.02</v>
      </c>
      <c r="B281" s="508" t="s">
        <v>369</v>
      </c>
      <c r="C281" s="469">
        <v>217.14000000000001</v>
      </c>
      <c r="D281" s="479" t="s">
        <v>38</v>
      </c>
      <c r="E281" s="505">
        <v>940.5</v>
      </c>
      <c r="F281" s="488">
        <v>204220.17</v>
      </c>
      <c r="G281" s="460">
        <v>217.14000000000001</v>
      </c>
      <c r="H281" s="472"/>
      <c r="I281" s="472">
        <f t="shared" si="221"/>
        <v>217.14000000000001</v>
      </c>
      <c r="J281" s="473">
        <f t="shared" si="222"/>
        <v>1</v>
      </c>
      <c r="K281" s="474">
        <f t="shared" si="223"/>
        <v>204220.17</v>
      </c>
      <c r="L281" s="474">
        <f t="shared" si="224"/>
        <v>0</v>
      </c>
      <c r="M281" s="474">
        <f t="shared" si="225"/>
        <v>204220.17</v>
      </c>
      <c r="N281" s="609"/>
    </row>
    <row r="282" spans="1:14" s="493" customFormat="1" ht="12.75">
      <c r="A282" s="467">
        <v>2.0299999999999998</v>
      </c>
      <c r="B282" s="508" t="s">
        <v>370</v>
      </c>
      <c r="C282" s="469">
        <v>1433.1240000000003</v>
      </c>
      <c r="D282" s="479" t="s">
        <v>38</v>
      </c>
      <c r="E282" s="505">
        <v>539.54999999999995</v>
      </c>
      <c r="F282" s="488">
        <v>773242.05</v>
      </c>
      <c r="G282" s="460">
        <v>1433.1240000000003</v>
      </c>
      <c r="H282" s="472"/>
      <c r="I282" s="472">
        <f t="shared" si="221"/>
        <v>1433.1240000000003</v>
      </c>
      <c r="J282" s="473">
        <f t="shared" si="222"/>
        <v>1</v>
      </c>
      <c r="K282" s="474">
        <f t="shared" si="223"/>
        <v>773242.05420000001</v>
      </c>
      <c r="L282" s="474">
        <f t="shared" si="224"/>
        <v>0</v>
      </c>
      <c r="M282" s="474">
        <f t="shared" si="225"/>
        <v>773242.05420000001</v>
      </c>
      <c r="N282" s="609"/>
    </row>
    <row r="283" spans="1:14">
      <c r="A283" s="467">
        <v>2.04</v>
      </c>
      <c r="B283" s="508" t="s">
        <v>253</v>
      </c>
      <c r="C283" s="469">
        <v>1194.2700000000002</v>
      </c>
      <c r="D283" s="479" t="s">
        <v>38</v>
      </c>
      <c r="E283" s="505">
        <v>247.5</v>
      </c>
      <c r="F283" s="488">
        <v>295581.83</v>
      </c>
      <c r="G283" s="460">
        <v>1194.2700000000002</v>
      </c>
      <c r="H283" s="472"/>
      <c r="I283" s="472">
        <f t="shared" si="221"/>
        <v>1194.2700000000002</v>
      </c>
      <c r="J283" s="473">
        <f t="shared" si="222"/>
        <v>1</v>
      </c>
      <c r="K283" s="474">
        <f t="shared" si="223"/>
        <v>295581.82500000007</v>
      </c>
      <c r="L283" s="474">
        <f t="shared" si="224"/>
        <v>0</v>
      </c>
      <c r="M283" s="474">
        <f t="shared" si="225"/>
        <v>295581.82500000007</v>
      </c>
      <c r="N283" s="609"/>
    </row>
    <row r="284" spans="1:14" s="515" customFormat="1" ht="24">
      <c r="A284" s="489">
        <v>2.0499999999999998</v>
      </c>
      <c r="B284" s="508" t="s">
        <v>371</v>
      </c>
      <c r="C284" s="490">
        <v>716.56200000000013</v>
      </c>
      <c r="D284" s="479" t="s">
        <v>38</v>
      </c>
      <c r="E284" s="510">
        <v>762.3</v>
      </c>
      <c r="F284" s="491">
        <v>546235.21</v>
      </c>
      <c r="G284" s="460">
        <v>716.56200000000013</v>
      </c>
      <c r="H284" s="472"/>
      <c r="I284" s="472">
        <f t="shared" si="221"/>
        <v>716.56200000000013</v>
      </c>
      <c r="J284" s="473">
        <f t="shared" si="222"/>
        <v>1</v>
      </c>
      <c r="K284" s="474">
        <f t="shared" si="223"/>
        <v>546235.21260000009</v>
      </c>
      <c r="L284" s="474">
        <f t="shared" si="224"/>
        <v>0</v>
      </c>
      <c r="M284" s="474">
        <f t="shared" si="225"/>
        <v>546235.21260000009</v>
      </c>
      <c r="N284" s="609"/>
    </row>
    <row r="285" spans="1:14" s="493" customFormat="1" ht="12.75">
      <c r="A285" s="476"/>
      <c r="B285" s="506" t="s">
        <v>530</v>
      </c>
      <c r="C285" s="469"/>
      <c r="D285" s="479"/>
      <c r="E285" s="505"/>
      <c r="F285" s="488"/>
      <c r="G285" s="502"/>
      <c r="H285" s="482"/>
      <c r="I285" s="527"/>
      <c r="J285" s="482"/>
      <c r="K285" s="528"/>
      <c r="L285" s="529"/>
      <c r="M285" s="529"/>
      <c r="N285" s="609"/>
    </row>
    <row r="286" spans="1:14">
      <c r="A286" s="467">
        <v>2.06</v>
      </c>
      <c r="B286" s="508" t="s">
        <v>531</v>
      </c>
      <c r="C286" s="469">
        <v>41.580000000000005</v>
      </c>
      <c r="D286" s="479" t="s">
        <v>38</v>
      </c>
      <c r="E286" s="505">
        <v>198</v>
      </c>
      <c r="F286" s="488">
        <v>8232.84</v>
      </c>
      <c r="G286" s="460">
        <v>41.580000000000005</v>
      </c>
      <c r="H286" s="472"/>
      <c r="I286" s="472">
        <f t="shared" ref="I286:I290" si="226">G286+H286</f>
        <v>41.580000000000005</v>
      </c>
      <c r="J286" s="473">
        <f t="shared" ref="J286:J290" si="227">I286/C286</f>
        <v>1</v>
      </c>
      <c r="K286" s="474">
        <f t="shared" ref="K286:K290" si="228">G286*E286</f>
        <v>8232.840000000002</v>
      </c>
      <c r="L286" s="474">
        <f t="shared" ref="L286:L290" si="229">H286*E286</f>
        <v>0</v>
      </c>
      <c r="M286" s="474">
        <f t="shared" ref="M286:M290" si="230">K286+L286</f>
        <v>8232.840000000002</v>
      </c>
      <c r="N286" s="609"/>
    </row>
    <row r="287" spans="1:14" s="446" customFormat="1" ht="12.75">
      <c r="A287" s="467">
        <v>2.0699999999999998</v>
      </c>
      <c r="B287" s="508" t="s">
        <v>369</v>
      </c>
      <c r="C287" s="469">
        <v>3.9600000000000004</v>
      </c>
      <c r="D287" s="479" t="s">
        <v>38</v>
      </c>
      <c r="E287" s="505">
        <v>940.5</v>
      </c>
      <c r="F287" s="488">
        <v>3724.38</v>
      </c>
      <c r="G287" s="460">
        <v>3.9600000000000004</v>
      </c>
      <c r="H287" s="472"/>
      <c r="I287" s="472">
        <f t="shared" si="226"/>
        <v>3.9600000000000004</v>
      </c>
      <c r="J287" s="473">
        <f t="shared" si="227"/>
        <v>1</v>
      </c>
      <c r="K287" s="474">
        <f t="shared" si="228"/>
        <v>3724.3800000000006</v>
      </c>
      <c r="L287" s="474">
        <f t="shared" si="229"/>
        <v>0</v>
      </c>
      <c r="M287" s="474">
        <f t="shared" si="230"/>
        <v>3724.3800000000006</v>
      </c>
      <c r="N287" s="609"/>
    </row>
    <row r="288" spans="1:14" s="446" customFormat="1" ht="12.75">
      <c r="A288" s="467">
        <v>2.08</v>
      </c>
      <c r="B288" s="508" t="s">
        <v>370</v>
      </c>
      <c r="C288" s="469">
        <v>24.948000000000004</v>
      </c>
      <c r="D288" s="479" t="s">
        <v>38</v>
      </c>
      <c r="E288" s="505">
        <v>539.54999999999995</v>
      </c>
      <c r="F288" s="488">
        <v>13460.69</v>
      </c>
      <c r="G288" s="460">
        <v>24.948000000000004</v>
      </c>
      <c r="H288" s="472"/>
      <c r="I288" s="472">
        <f t="shared" si="226"/>
        <v>24.948000000000004</v>
      </c>
      <c r="J288" s="473">
        <f t="shared" si="227"/>
        <v>1</v>
      </c>
      <c r="K288" s="474">
        <f t="shared" si="228"/>
        <v>13460.6934</v>
      </c>
      <c r="L288" s="474">
        <f t="shared" si="229"/>
        <v>0</v>
      </c>
      <c r="M288" s="474">
        <f t="shared" si="230"/>
        <v>13460.6934</v>
      </c>
      <c r="N288" s="609"/>
    </row>
    <row r="289" spans="1:14" s="493" customFormat="1" ht="12.75">
      <c r="A289" s="467">
        <v>2.09</v>
      </c>
      <c r="B289" s="508" t="s">
        <v>253</v>
      </c>
      <c r="C289" s="469">
        <v>20.790000000000003</v>
      </c>
      <c r="D289" s="479" t="s">
        <v>38</v>
      </c>
      <c r="E289" s="505">
        <v>247.5</v>
      </c>
      <c r="F289" s="488">
        <v>5145.53</v>
      </c>
      <c r="G289" s="460">
        <v>20.790000000000003</v>
      </c>
      <c r="H289" s="472"/>
      <c r="I289" s="472">
        <f t="shared" si="226"/>
        <v>20.790000000000003</v>
      </c>
      <c r="J289" s="473">
        <f t="shared" si="227"/>
        <v>1</v>
      </c>
      <c r="K289" s="474">
        <f t="shared" si="228"/>
        <v>5145.5250000000005</v>
      </c>
      <c r="L289" s="474">
        <f t="shared" si="229"/>
        <v>0</v>
      </c>
      <c r="M289" s="474">
        <f t="shared" si="230"/>
        <v>5145.5250000000005</v>
      </c>
      <c r="N289" s="609"/>
    </row>
    <row r="290" spans="1:14" ht="24">
      <c r="A290" s="512">
        <v>2.1</v>
      </c>
      <c r="B290" s="508" t="s">
        <v>371</v>
      </c>
      <c r="C290" s="469">
        <v>12.474000000000002</v>
      </c>
      <c r="D290" s="479" t="s">
        <v>38</v>
      </c>
      <c r="E290" s="505">
        <v>762.3</v>
      </c>
      <c r="F290" s="488">
        <v>9508.93</v>
      </c>
      <c r="G290" s="460">
        <v>12.474000000000002</v>
      </c>
      <c r="H290" s="472"/>
      <c r="I290" s="472">
        <f t="shared" si="226"/>
        <v>12.474000000000002</v>
      </c>
      <c r="J290" s="473">
        <f t="shared" si="227"/>
        <v>1</v>
      </c>
      <c r="K290" s="474">
        <f t="shared" si="228"/>
        <v>9508.9302000000007</v>
      </c>
      <c r="L290" s="474">
        <f t="shared" si="229"/>
        <v>0</v>
      </c>
      <c r="M290" s="474">
        <f t="shared" si="230"/>
        <v>9508.9302000000007</v>
      </c>
      <c r="N290" s="609"/>
    </row>
    <row r="291" spans="1:14">
      <c r="A291" s="476">
        <v>3</v>
      </c>
      <c r="B291" s="506" t="s">
        <v>372</v>
      </c>
      <c r="C291" s="478"/>
      <c r="D291" s="479"/>
      <c r="E291" s="480"/>
      <c r="F291" s="480"/>
      <c r="G291" s="460"/>
      <c r="H291" s="463"/>
      <c r="I291" s="499"/>
      <c r="J291" s="463"/>
      <c r="K291" s="464"/>
      <c r="L291" s="464"/>
      <c r="M291" s="464"/>
      <c r="N291" s="609"/>
    </row>
    <row r="292" spans="1:14" ht="24">
      <c r="A292" s="467">
        <v>3.01</v>
      </c>
      <c r="B292" s="508" t="s">
        <v>532</v>
      </c>
      <c r="C292" s="469">
        <v>3799.9500000000003</v>
      </c>
      <c r="D292" s="479" t="s">
        <v>30</v>
      </c>
      <c r="E292" s="505">
        <v>1135.5208748057328</v>
      </c>
      <c r="F292" s="488">
        <v>4314922.5482180445</v>
      </c>
      <c r="G292" s="460">
        <v>3799.9500000000003</v>
      </c>
      <c r="H292" s="472"/>
      <c r="I292" s="472">
        <f t="shared" ref="I292:I293" si="231">G292+H292</f>
        <v>3799.9500000000003</v>
      </c>
      <c r="J292" s="473">
        <f t="shared" ref="J292:J293" si="232">I292/C292</f>
        <v>1</v>
      </c>
      <c r="K292" s="474">
        <f t="shared" ref="K292:K293" si="233">G292*E292</f>
        <v>4314922.5482180445</v>
      </c>
      <c r="L292" s="474">
        <f t="shared" ref="L292:L293" si="234">H292*E292</f>
        <v>0</v>
      </c>
      <c r="M292" s="474">
        <f t="shared" ref="M292:M293" si="235">K292+L292</f>
        <v>4314922.5482180445</v>
      </c>
      <c r="N292" s="609"/>
    </row>
    <row r="293" spans="1:14" ht="24">
      <c r="A293" s="467">
        <v>3.02</v>
      </c>
      <c r="B293" s="508" t="s">
        <v>533</v>
      </c>
      <c r="C293" s="469">
        <v>69.3</v>
      </c>
      <c r="D293" s="479" t="s">
        <v>30</v>
      </c>
      <c r="E293" s="505">
        <v>618.42266118032785</v>
      </c>
      <c r="F293" s="488">
        <v>42856.690419796716</v>
      </c>
      <c r="G293" s="460">
        <v>0</v>
      </c>
      <c r="H293" s="472"/>
      <c r="I293" s="472">
        <f t="shared" si="231"/>
        <v>0</v>
      </c>
      <c r="J293" s="473">
        <f t="shared" si="232"/>
        <v>0</v>
      </c>
      <c r="K293" s="474">
        <f t="shared" si="233"/>
        <v>0</v>
      </c>
      <c r="L293" s="474">
        <f t="shared" si="234"/>
        <v>0</v>
      </c>
      <c r="M293" s="474">
        <f t="shared" si="235"/>
        <v>0</v>
      </c>
      <c r="N293" s="609"/>
    </row>
    <row r="294" spans="1:14" s="493" customFormat="1" ht="12.75">
      <c r="A294" s="476">
        <v>4</v>
      </c>
      <c r="B294" s="506" t="s">
        <v>374</v>
      </c>
      <c r="C294" s="496"/>
      <c r="D294" s="497"/>
      <c r="E294" s="498"/>
      <c r="F294" s="498"/>
      <c r="G294" s="502"/>
      <c r="H294" s="482"/>
      <c r="I294" s="527"/>
      <c r="J294" s="482"/>
      <c r="K294" s="528"/>
      <c r="L294" s="529"/>
      <c r="M294" s="529"/>
      <c r="N294" s="609"/>
    </row>
    <row r="295" spans="1:14" s="446" customFormat="1" ht="12.75">
      <c r="A295" s="467">
        <v>4.01</v>
      </c>
      <c r="B295" s="508" t="s">
        <v>495</v>
      </c>
      <c r="C295" s="469">
        <v>3619</v>
      </c>
      <c r="D295" s="479" t="s">
        <v>30</v>
      </c>
      <c r="E295" s="505">
        <v>65</v>
      </c>
      <c r="F295" s="488">
        <v>235235</v>
      </c>
      <c r="G295" s="460">
        <v>3619</v>
      </c>
      <c r="H295" s="472"/>
      <c r="I295" s="472">
        <f t="shared" ref="I295:I296" si="236">G295+H295</f>
        <v>3619</v>
      </c>
      <c r="J295" s="473">
        <f t="shared" ref="J295:J296" si="237">I295/C295</f>
        <v>1</v>
      </c>
      <c r="K295" s="474">
        <f t="shared" ref="K295:K296" si="238">G295*E295</f>
        <v>235235</v>
      </c>
      <c r="L295" s="474">
        <f t="shared" ref="L295:L296" si="239">H295*E295</f>
        <v>0</v>
      </c>
      <c r="M295" s="474">
        <f t="shared" ref="M295:M296" si="240">K295+L295</f>
        <v>235235</v>
      </c>
      <c r="N295" s="609"/>
    </row>
    <row r="296" spans="1:14" s="446" customFormat="1" ht="12.75">
      <c r="A296" s="467">
        <v>4.0199999999999996</v>
      </c>
      <c r="B296" s="508" t="s">
        <v>534</v>
      </c>
      <c r="C296" s="469">
        <v>66</v>
      </c>
      <c r="D296" s="479" t="s">
        <v>30</v>
      </c>
      <c r="E296" s="505">
        <v>50.98</v>
      </c>
      <c r="F296" s="488">
        <v>3364.68</v>
      </c>
      <c r="G296" s="460">
        <v>0</v>
      </c>
      <c r="H296" s="472"/>
      <c r="I296" s="472">
        <f t="shared" si="236"/>
        <v>0</v>
      </c>
      <c r="J296" s="473">
        <f t="shared" si="237"/>
        <v>0</v>
      </c>
      <c r="K296" s="474">
        <f t="shared" si="238"/>
        <v>0</v>
      </c>
      <c r="L296" s="474">
        <f t="shared" si="239"/>
        <v>0</v>
      </c>
      <c r="M296" s="474">
        <f t="shared" si="240"/>
        <v>0</v>
      </c>
      <c r="N296" s="609"/>
    </row>
    <row r="297" spans="1:14">
      <c r="A297" s="476">
        <v>2</v>
      </c>
      <c r="B297" s="506" t="s">
        <v>483</v>
      </c>
      <c r="C297" s="507"/>
      <c r="D297" s="497"/>
      <c r="E297" s="498"/>
      <c r="F297" s="552"/>
      <c r="G297" s="460"/>
      <c r="H297" s="463"/>
      <c r="I297" s="499"/>
      <c r="J297" s="463"/>
      <c r="K297" s="464"/>
      <c r="L297" s="464"/>
      <c r="M297" s="464"/>
      <c r="N297" s="609"/>
    </row>
    <row r="298" spans="1:14" s="446" customFormat="1" ht="12.75">
      <c r="A298" s="467">
        <v>2.0099999999999998</v>
      </c>
      <c r="B298" s="508" t="s">
        <v>496</v>
      </c>
      <c r="C298" s="469">
        <v>115.64</v>
      </c>
      <c r="D298" s="479" t="s">
        <v>30</v>
      </c>
      <c r="E298" s="505">
        <v>7309.4523762376239</v>
      </c>
      <c r="F298" s="488">
        <v>845265.07278811885</v>
      </c>
      <c r="G298" s="460">
        <v>115.64</v>
      </c>
      <c r="H298" s="472"/>
      <c r="I298" s="472">
        <f t="shared" ref="I298:I299" si="241">G298+H298</f>
        <v>115.64</v>
      </c>
      <c r="J298" s="473">
        <f t="shared" ref="J298:J299" si="242">I298/C298</f>
        <v>1</v>
      </c>
      <c r="K298" s="474">
        <f t="shared" ref="K298:K299" si="243">G298*E298</f>
        <v>845265.07278811885</v>
      </c>
      <c r="L298" s="474">
        <f t="shared" ref="L298:L299" si="244">H298*E298</f>
        <v>0</v>
      </c>
      <c r="M298" s="474">
        <f t="shared" ref="M298:M299" si="245">K298+L298</f>
        <v>845265.07278811885</v>
      </c>
      <c r="N298" s="609"/>
    </row>
    <row r="299" spans="1:14">
      <c r="A299" s="467">
        <v>2.02</v>
      </c>
      <c r="B299" s="508" t="s">
        <v>485</v>
      </c>
      <c r="C299" s="469">
        <v>33</v>
      </c>
      <c r="D299" s="479" t="s">
        <v>50</v>
      </c>
      <c r="E299" s="505">
        <v>6509.6</v>
      </c>
      <c r="F299" s="488">
        <v>214816.80000000002</v>
      </c>
      <c r="G299" s="460">
        <v>33</v>
      </c>
      <c r="H299" s="472"/>
      <c r="I299" s="472">
        <f t="shared" si="241"/>
        <v>33</v>
      </c>
      <c r="J299" s="473">
        <f t="shared" si="242"/>
        <v>1</v>
      </c>
      <c r="K299" s="474">
        <f t="shared" si="243"/>
        <v>214816.80000000002</v>
      </c>
      <c r="L299" s="474">
        <f t="shared" si="244"/>
        <v>0</v>
      </c>
      <c r="M299" s="474">
        <f t="shared" si="245"/>
        <v>214816.80000000002</v>
      </c>
      <c r="N299" s="609"/>
    </row>
    <row r="300" spans="1:14" s="493" customFormat="1" ht="12.75">
      <c r="A300" s="476">
        <v>3</v>
      </c>
      <c r="B300" s="506" t="s">
        <v>383</v>
      </c>
      <c r="C300" s="496"/>
      <c r="D300" s="497"/>
      <c r="E300" s="498"/>
      <c r="F300" s="552"/>
      <c r="G300" s="502"/>
      <c r="H300" s="482"/>
      <c r="I300" s="527"/>
      <c r="J300" s="482"/>
      <c r="K300" s="528"/>
      <c r="L300" s="529"/>
      <c r="M300" s="529"/>
      <c r="N300" s="609"/>
    </row>
    <row r="301" spans="1:14" s="446" customFormat="1" ht="12.75">
      <c r="A301" s="467">
        <v>3.01</v>
      </c>
      <c r="B301" s="508" t="s">
        <v>535</v>
      </c>
      <c r="C301" s="469">
        <v>11</v>
      </c>
      <c r="D301" s="479" t="s">
        <v>50</v>
      </c>
      <c r="E301" s="505">
        <v>8869.8119307999987</v>
      </c>
      <c r="F301" s="488">
        <v>97567.931238799982</v>
      </c>
      <c r="G301" s="460">
        <v>11</v>
      </c>
      <c r="H301" s="472"/>
      <c r="I301" s="472">
        <f t="shared" ref="I301:I304" si="246">G301+H301</f>
        <v>11</v>
      </c>
      <c r="J301" s="473">
        <f t="shared" ref="J301:J304" si="247">I301/C301</f>
        <v>1</v>
      </c>
      <c r="K301" s="474">
        <f t="shared" ref="K301:K304" si="248">G301*E301</f>
        <v>97567.931238799982</v>
      </c>
      <c r="L301" s="474">
        <f t="shared" ref="L301:L304" si="249">H301*E301</f>
        <v>0</v>
      </c>
      <c r="M301" s="474">
        <f t="shared" ref="M301:M304" si="250">K301+L301</f>
        <v>97567.931238799982</v>
      </c>
      <c r="N301" s="609"/>
    </row>
    <row r="302" spans="1:14" s="446" customFormat="1" ht="12.75">
      <c r="A302" s="467">
        <v>3.02</v>
      </c>
      <c r="B302" s="508" t="s">
        <v>536</v>
      </c>
      <c r="C302" s="469">
        <v>3</v>
      </c>
      <c r="D302" s="479" t="s">
        <v>50</v>
      </c>
      <c r="E302" s="505">
        <v>9630.0886407999988</v>
      </c>
      <c r="F302" s="488">
        <v>28890.265922399994</v>
      </c>
      <c r="G302" s="460">
        <v>3</v>
      </c>
      <c r="H302" s="472"/>
      <c r="I302" s="472">
        <f t="shared" si="246"/>
        <v>3</v>
      </c>
      <c r="J302" s="473">
        <f t="shared" si="247"/>
        <v>1</v>
      </c>
      <c r="K302" s="474">
        <f t="shared" si="248"/>
        <v>28890.265922399994</v>
      </c>
      <c r="L302" s="474">
        <f t="shared" si="249"/>
        <v>0</v>
      </c>
      <c r="M302" s="474">
        <f t="shared" si="250"/>
        <v>28890.265922399994</v>
      </c>
      <c r="N302" s="609"/>
    </row>
    <row r="303" spans="1:14" s="446" customFormat="1" ht="12.75">
      <c r="A303" s="467">
        <v>3.03</v>
      </c>
      <c r="B303" s="508" t="s">
        <v>537</v>
      </c>
      <c r="C303" s="469">
        <v>1</v>
      </c>
      <c r="D303" s="479" t="s">
        <v>50</v>
      </c>
      <c r="E303" s="505">
        <v>9598.3999134999976</v>
      </c>
      <c r="F303" s="488">
        <v>9598.3999134999976</v>
      </c>
      <c r="G303" s="460">
        <v>1</v>
      </c>
      <c r="H303" s="472"/>
      <c r="I303" s="472">
        <f t="shared" si="246"/>
        <v>1</v>
      </c>
      <c r="J303" s="473">
        <f t="shared" si="247"/>
        <v>1</v>
      </c>
      <c r="K303" s="474">
        <f t="shared" si="248"/>
        <v>9598.3999134999976</v>
      </c>
      <c r="L303" s="474">
        <f t="shared" si="249"/>
        <v>0</v>
      </c>
      <c r="M303" s="474">
        <f t="shared" si="250"/>
        <v>9598.3999134999976</v>
      </c>
      <c r="N303" s="609"/>
    </row>
    <row r="304" spans="1:14" s="446" customFormat="1" ht="12.75">
      <c r="A304" s="467">
        <v>3.04</v>
      </c>
      <c r="B304" s="508" t="s">
        <v>538</v>
      </c>
      <c r="C304" s="469">
        <v>1</v>
      </c>
      <c r="D304" s="479" t="s">
        <v>50</v>
      </c>
      <c r="E304" s="505">
        <v>5466.2849999999999</v>
      </c>
      <c r="F304" s="488">
        <v>5466.2849999999999</v>
      </c>
      <c r="G304" s="460">
        <v>1</v>
      </c>
      <c r="H304" s="472"/>
      <c r="I304" s="472">
        <f t="shared" si="246"/>
        <v>1</v>
      </c>
      <c r="J304" s="473">
        <f t="shared" si="247"/>
        <v>1</v>
      </c>
      <c r="K304" s="474">
        <f t="shared" si="248"/>
        <v>5466.2849999999999</v>
      </c>
      <c r="L304" s="474">
        <f t="shared" si="249"/>
        <v>0</v>
      </c>
      <c r="M304" s="474">
        <f t="shared" si="250"/>
        <v>5466.2849999999999</v>
      </c>
      <c r="N304" s="609"/>
    </row>
    <row r="305" spans="1:14" s="493" customFormat="1" ht="12.75">
      <c r="A305" s="476">
        <v>4</v>
      </c>
      <c r="B305" s="506" t="s">
        <v>490</v>
      </c>
      <c r="C305" s="496"/>
      <c r="D305" s="507"/>
      <c r="E305" s="507"/>
      <c r="F305" s="553"/>
      <c r="G305" s="482"/>
      <c r="H305" s="482"/>
      <c r="I305" s="527"/>
      <c r="J305" s="482"/>
      <c r="K305" s="528"/>
      <c r="L305" s="529"/>
      <c r="M305" s="529"/>
      <c r="N305" s="609"/>
    </row>
    <row r="306" spans="1:14">
      <c r="A306" s="467">
        <v>4.01</v>
      </c>
      <c r="B306" s="508" t="s">
        <v>33</v>
      </c>
      <c r="C306" s="469">
        <v>4120</v>
      </c>
      <c r="D306" s="479" t="s">
        <v>30</v>
      </c>
      <c r="E306" s="505">
        <v>87.27</v>
      </c>
      <c r="F306" s="488">
        <v>359552.39999999997</v>
      </c>
      <c r="G306" s="460">
        <v>4120</v>
      </c>
      <c r="H306" s="472"/>
      <c r="I306" s="472">
        <f t="shared" ref="I306" si="251">G306+H306</f>
        <v>4120</v>
      </c>
      <c r="J306" s="473">
        <f t="shared" ref="J306" si="252">I306/C306</f>
        <v>1</v>
      </c>
      <c r="K306" s="474">
        <f t="shared" ref="K306" si="253">G306*E306</f>
        <v>359552.39999999997</v>
      </c>
      <c r="L306" s="474">
        <f t="shared" ref="L306" si="254">H306*E306</f>
        <v>0</v>
      </c>
      <c r="M306" s="474">
        <f t="shared" ref="M306" si="255">K306+L306</f>
        <v>359552.39999999997</v>
      </c>
      <c r="N306" s="609"/>
    </row>
    <row r="307" spans="1:14">
      <c r="A307" s="476">
        <v>5</v>
      </c>
      <c r="B307" s="506" t="s">
        <v>539</v>
      </c>
      <c r="C307" s="469"/>
      <c r="D307" s="479"/>
      <c r="E307" s="480"/>
      <c r="F307" s="480"/>
      <c r="G307" s="463"/>
      <c r="H307" s="463"/>
      <c r="I307" s="521"/>
      <c r="J307" s="487"/>
      <c r="K307" s="503"/>
      <c r="L307" s="464"/>
      <c r="M307" s="464"/>
      <c r="N307" s="609"/>
    </row>
    <row r="308" spans="1:14">
      <c r="A308" s="467">
        <v>5.01</v>
      </c>
      <c r="B308" s="508" t="s">
        <v>377</v>
      </c>
      <c r="C308" s="469">
        <v>85</v>
      </c>
      <c r="D308" s="479" t="s">
        <v>50</v>
      </c>
      <c r="E308" s="505">
        <v>3819.7368000000001</v>
      </c>
      <c r="F308" s="488">
        <v>324677.63</v>
      </c>
      <c r="G308" s="460">
        <v>85</v>
      </c>
      <c r="H308" s="472"/>
      <c r="I308" s="472">
        <f t="shared" ref="I308" si="256">G308+H308</f>
        <v>85</v>
      </c>
      <c r="J308" s="473">
        <f t="shared" ref="J308" si="257">I308/C308</f>
        <v>1</v>
      </c>
      <c r="K308" s="474">
        <f t="shared" ref="K308" si="258">G308*E308</f>
        <v>324677.62800000003</v>
      </c>
      <c r="L308" s="474">
        <f t="shared" ref="L308" si="259">H308*E308</f>
        <v>0</v>
      </c>
      <c r="M308" s="474">
        <f t="shared" ref="M308" si="260">K308+L308</f>
        <v>324677.62800000003</v>
      </c>
      <c r="N308" s="609"/>
    </row>
    <row r="309" spans="1:14" s="493" customFormat="1" ht="12.75">
      <c r="A309" s="476">
        <v>6</v>
      </c>
      <c r="B309" s="506" t="s">
        <v>487</v>
      </c>
      <c r="C309" s="496"/>
      <c r="D309" s="497"/>
      <c r="E309" s="498"/>
      <c r="F309" s="498"/>
      <c r="G309" s="482"/>
      <c r="H309" s="482"/>
      <c r="I309" s="527"/>
      <c r="J309" s="551"/>
      <c r="K309" s="503"/>
      <c r="L309" s="503"/>
      <c r="M309" s="503"/>
      <c r="N309" s="609"/>
    </row>
    <row r="310" spans="1:14" s="493" customFormat="1" ht="24">
      <c r="A310" s="467">
        <v>6.01</v>
      </c>
      <c r="B310" s="508" t="s">
        <v>540</v>
      </c>
      <c r="C310" s="469">
        <v>3</v>
      </c>
      <c r="D310" s="479" t="s">
        <v>50</v>
      </c>
      <c r="E310" s="480">
        <v>25672.67</v>
      </c>
      <c r="F310" s="505">
        <v>77018.009999999995</v>
      </c>
      <c r="G310" s="460">
        <v>3</v>
      </c>
      <c r="H310" s="472"/>
      <c r="I310" s="472">
        <f t="shared" ref="I310:I311" si="261">G310+H310</f>
        <v>3</v>
      </c>
      <c r="J310" s="473">
        <f t="shared" ref="J310:J311" si="262">I310/C310</f>
        <v>1</v>
      </c>
      <c r="K310" s="474">
        <f t="shared" ref="K310:K311" si="263">G310*E310</f>
        <v>77018.009999999995</v>
      </c>
      <c r="L310" s="474">
        <f t="shared" ref="L310:L311" si="264">H310*E310</f>
        <v>0</v>
      </c>
      <c r="M310" s="474">
        <f t="shared" ref="M310:M311" si="265">K310+L310</f>
        <v>77018.009999999995</v>
      </c>
      <c r="N310" s="609"/>
    </row>
    <row r="311" spans="1:14">
      <c r="A311" s="467">
        <v>6.02</v>
      </c>
      <c r="B311" s="508" t="s">
        <v>541</v>
      </c>
      <c r="C311" s="469">
        <v>3</v>
      </c>
      <c r="D311" s="479" t="s">
        <v>50</v>
      </c>
      <c r="E311" s="488">
        <v>32175</v>
      </c>
      <c r="F311" s="488">
        <v>96525</v>
      </c>
      <c r="G311" s="460">
        <v>0</v>
      </c>
      <c r="H311" s="472"/>
      <c r="I311" s="472">
        <f t="shared" si="261"/>
        <v>0</v>
      </c>
      <c r="J311" s="473">
        <f t="shared" si="262"/>
        <v>0</v>
      </c>
      <c r="K311" s="474">
        <f t="shared" si="263"/>
        <v>0</v>
      </c>
      <c r="L311" s="474">
        <f t="shared" si="264"/>
        <v>0</v>
      </c>
      <c r="M311" s="474">
        <f t="shared" si="265"/>
        <v>0</v>
      </c>
      <c r="N311" s="609"/>
    </row>
    <row r="312" spans="1:14" s="493" customFormat="1" ht="12.75">
      <c r="A312" s="476"/>
      <c r="B312" s="477" t="s">
        <v>44</v>
      </c>
      <c r="C312" s="507"/>
      <c r="D312" s="497"/>
      <c r="E312" s="498"/>
      <c r="F312" s="481">
        <f>SUM(F276:F311)</f>
        <v>9209139.2635006607</v>
      </c>
      <c r="G312" s="482"/>
      <c r="H312" s="482"/>
      <c r="I312" s="527"/>
      <c r="J312" s="482"/>
      <c r="K312" s="547">
        <f>SUM(K276:K311)</f>
        <v>9066392.8914808631</v>
      </c>
      <c r="L312" s="548">
        <f>SUM(L276:L311)</f>
        <v>0</v>
      </c>
      <c r="M312" s="548">
        <f>K312+L312</f>
        <v>9066392.8914808631</v>
      </c>
      <c r="N312" s="609"/>
    </row>
    <row r="313" spans="1:14" s="493" customFormat="1" ht="12.75">
      <c r="A313" s="476" t="s">
        <v>238</v>
      </c>
      <c r="B313" s="506" t="s">
        <v>542</v>
      </c>
      <c r="C313" s="496"/>
      <c r="D313" s="497"/>
      <c r="E313" s="498"/>
      <c r="F313" s="498"/>
      <c r="G313" s="482"/>
      <c r="H313" s="482"/>
      <c r="I313" s="527"/>
      <c r="J313" s="551"/>
      <c r="K313" s="503"/>
      <c r="L313" s="503"/>
      <c r="M313" s="503"/>
      <c r="N313" s="609"/>
    </row>
    <row r="314" spans="1:14" s="493" customFormat="1" ht="12.75">
      <c r="A314" s="476">
        <v>1</v>
      </c>
      <c r="B314" s="506" t="s">
        <v>365</v>
      </c>
      <c r="C314" s="469"/>
      <c r="D314" s="479"/>
      <c r="E314" s="480"/>
      <c r="F314" s="480"/>
      <c r="G314" s="502"/>
      <c r="H314" s="482"/>
      <c r="I314" s="527"/>
      <c r="J314" s="482"/>
      <c r="K314" s="528"/>
      <c r="L314" s="529"/>
      <c r="M314" s="529"/>
      <c r="N314" s="609"/>
    </row>
    <row r="315" spans="1:14">
      <c r="A315" s="467">
        <v>1.01</v>
      </c>
      <c r="B315" s="508" t="s">
        <v>29</v>
      </c>
      <c r="C315" s="469">
        <v>990</v>
      </c>
      <c r="D315" s="479" t="s">
        <v>264</v>
      </c>
      <c r="E315" s="488">
        <v>60</v>
      </c>
      <c r="F315" s="488">
        <v>59400</v>
      </c>
      <c r="G315" s="460">
        <v>990</v>
      </c>
      <c r="H315" s="472"/>
      <c r="I315" s="472">
        <f t="shared" ref="I315" si="266">G315+H315</f>
        <v>990</v>
      </c>
      <c r="J315" s="473">
        <f t="shared" ref="J315" si="267">I315/C315</f>
        <v>1</v>
      </c>
      <c r="K315" s="474">
        <f t="shared" ref="K315" si="268">G315*E315</f>
        <v>59400</v>
      </c>
      <c r="L315" s="474">
        <f t="shared" ref="L315" si="269">H315*E315</f>
        <v>0</v>
      </c>
      <c r="M315" s="474">
        <f t="shared" ref="M315" si="270">K315+L315</f>
        <v>59400</v>
      </c>
      <c r="N315" s="609"/>
    </row>
    <row r="316" spans="1:14">
      <c r="A316" s="476">
        <v>2</v>
      </c>
      <c r="B316" s="506" t="s">
        <v>250</v>
      </c>
      <c r="C316" s="469"/>
      <c r="D316" s="479"/>
      <c r="E316" s="480"/>
      <c r="F316" s="505"/>
      <c r="G316" s="463"/>
      <c r="H316" s="463"/>
      <c r="I316" s="499"/>
      <c r="J316" s="463"/>
      <c r="K316" s="464"/>
      <c r="L316" s="464"/>
      <c r="M316" s="464"/>
      <c r="N316" s="609"/>
    </row>
    <row r="317" spans="1:14" s="493" customFormat="1" ht="12.75">
      <c r="A317" s="467">
        <v>2.0099999999999998</v>
      </c>
      <c r="B317" s="508" t="s">
        <v>37</v>
      </c>
      <c r="C317" s="469">
        <v>641.5200000000001</v>
      </c>
      <c r="D317" s="479" t="s">
        <v>38</v>
      </c>
      <c r="E317" s="488">
        <v>198</v>
      </c>
      <c r="F317" s="488">
        <v>127020.96</v>
      </c>
      <c r="G317" s="460">
        <v>641.5200000000001</v>
      </c>
      <c r="H317" s="472"/>
      <c r="I317" s="472">
        <f t="shared" ref="I317:I321" si="271">G317+H317</f>
        <v>641.5200000000001</v>
      </c>
      <c r="J317" s="473">
        <f t="shared" ref="J317:J321" si="272">I317/C317</f>
        <v>1</v>
      </c>
      <c r="K317" s="474">
        <f t="shared" ref="K317:K321" si="273">G317*E317</f>
        <v>127020.96000000002</v>
      </c>
      <c r="L317" s="474">
        <f t="shared" ref="L317:L321" si="274">H317*E317</f>
        <v>0</v>
      </c>
      <c r="M317" s="474">
        <f t="shared" ref="M317:M321" si="275">K317+L317</f>
        <v>127020.96000000002</v>
      </c>
      <c r="N317" s="609"/>
    </row>
    <row r="318" spans="1:14">
      <c r="A318" s="467">
        <v>2.02</v>
      </c>
      <c r="B318" s="508" t="s">
        <v>369</v>
      </c>
      <c r="C318" s="469">
        <v>59.400000000000006</v>
      </c>
      <c r="D318" s="479" t="s">
        <v>38</v>
      </c>
      <c r="E318" s="488">
        <v>940.5</v>
      </c>
      <c r="F318" s="488">
        <v>55865.7</v>
      </c>
      <c r="G318" s="460">
        <v>59.400000000000006</v>
      </c>
      <c r="H318" s="472"/>
      <c r="I318" s="472">
        <f t="shared" si="271"/>
        <v>59.400000000000006</v>
      </c>
      <c r="J318" s="473">
        <f t="shared" si="272"/>
        <v>1</v>
      </c>
      <c r="K318" s="474">
        <f t="shared" si="273"/>
        <v>55865.700000000004</v>
      </c>
      <c r="L318" s="474">
        <f t="shared" si="274"/>
        <v>0</v>
      </c>
      <c r="M318" s="474">
        <f t="shared" si="275"/>
        <v>55865.700000000004</v>
      </c>
      <c r="N318" s="609"/>
    </row>
    <row r="319" spans="1:14" s="446" customFormat="1" ht="12.75">
      <c r="A319" s="467">
        <v>2.0299999999999998</v>
      </c>
      <c r="B319" s="508" t="s">
        <v>370</v>
      </c>
      <c r="C319" s="469">
        <v>384.91200000000003</v>
      </c>
      <c r="D319" s="479" t="s">
        <v>38</v>
      </c>
      <c r="E319" s="488">
        <v>539.54999999999995</v>
      </c>
      <c r="F319" s="488">
        <v>207679.27</v>
      </c>
      <c r="G319" s="460">
        <v>384.91200000000003</v>
      </c>
      <c r="H319" s="472"/>
      <c r="I319" s="472">
        <f t="shared" si="271"/>
        <v>384.91200000000003</v>
      </c>
      <c r="J319" s="473">
        <f t="shared" si="272"/>
        <v>1</v>
      </c>
      <c r="K319" s="474">
        <f t="shared" si="273"/>
        <v>207679.2696</v>
      </c>
      <c r="L319" s="474">
        <f t="shared" si="274"/>
        <v>0</v>
      </c>
      <c r="M319" s="474">
        <f t="shared" si="275"/>
        <v>207679.2696</v>
      </c>
      <c r="N319" s="609"/>
    </row>
    <row r="320" spans="1:14" s="446" customFormat="1" ht="12.75">
      <c r="A320" s="467">
        <v>2.04</v>
      </c>
      <c r="B320" s="508" t="s">
        <v>253</v>
      </c>
      <c r="C320" s="469">
        <v>320.7600000000001</v>
      </c>
      <c r="D320" s="479" t="s">
        <v>38</v>
      </c>
      <c r="E320" s="488">
        <v>247.5</v>
      </c>
      <c r="F320" s="488">
        <v>79388.100000000006</v>
      </c>
      <c r="G320" s="460">
        <v>320.7600000000001</v>
      </c>
      <c r="H320" s="472"/>
      <c r="I320" s="472">
        <f t="shared" si="271"/>
        <v>320.7600000000001</v>
      </c>
      <c r="J320" s="473">
        <f t="shared" si="272"/>
        <v>1</v>
      </c>
      <c r="K320" s="474">
        <f t="shared" si="273"/>
        <v>79388.10000000002</v>
      </c>
      <c r="L320" s="474">
        <f t="shared" si="274"/>
        <v>0</v>
      </c>
      <c r="M320" s="474">
        <f t="shared" si="275"/>
        <v>79388.10000000002</v>
      </c>
      <c r="N320" s="609"/>
    </row>
    <row r="321" spans="1:14" ht="24">
      <c r="A321" s="467">
        <v>2.0499999999999998</v>
      </c>
      <c r="B321" s="508" t="s">
        <v>371</v>
      </c>
      <c r="C321" s="469">
        <v>192.45600000000002</v>
      </c>
      <c r="D321" s="479" t="s">
        <v>38</v>
      </c>
      <c r="E321" s="488">
        <v>762.3</v>
      </c>
      <c r="F321" s="488">
        <v>146709.21</v>
      </c>
      <c r="G321" s="460">
        <v>192.45600000000002</v>
      </c>
      <c r="H321" s="472"/>
      <c r="I321" s="472">
        <f t="shared" si="271"/>
        <v>192.45600000000002</v>
      </c>
      <c r="J321" s="473">
        <f t="shared" si="272"/>
        <v>1</v>
      </c>
      <c r="K321" s="474">
        <f t="shared" si="273"/>
        <v>146709.20879999999</v>
      </c>
      <c r="L321" s="474">
        <f t="shared" si="274"/>
        <v>0</v>
      </c>
      <c r="M321" s="474">
        <f t="shared" si="275"/>
        <v>146709.20879999999</v>
      </c>
      <c r="N321" s="609"/>
    </row>
    <row r="322" spans="1:14">
      <c r="A322" s="476">
        <v>3</v>
      </c>
      <c r="B322" s="506" t="s">
        <v>372</v>
      </c>
      <c r="C322" s="478"/>
      <c r="D322" s="479"/>
      <c r="E322" s="480"/>
      <c r="F322" s="505"/>
      <c r="G322" s="460"/>
      <c r="H322" s="463"/>
      <c r="I322" s="499"/>
      <c r="J322" s="463"/>
      <c r="K322" s="464"/>
      <c r="L322" s="464"/>
      <c r="M322" s="464"/>
      <c r="N322" s="609"/>
    </row>
    <row r="323" spans="1:14">
      <c r="A323" s="467">
        <v>3.01</v>
      </c>
      <c r="B323" s="508" t="s">
        <v>543</v>
      </c>
      <c r="C323" s="469">
        <v>1039.5</v>
      </c>
      <c r="D323" s="479" t="s">
        <v>264</v>
      </c>
      <c r="E323" s="488">
        <v>809.30424071835603</v>
      </c>
      <c r="F323" s="488">
        <f>C323*E323</f>
        <v>841271.75822673109</v>
      </c>
      <c r="G323" s="460">
        <v>1039.5</v>
      </c>
      <c r="H323" s="472"/>
      <c r="I323" s="472">
        <f t="shared" ref="I323" si="276">G323+H323</f>
        <v>1039.5</v>
      </c>
      <c r="J323" s="473">
        <f t="shared" ref="J323" si="277">I323/C323</f>
        <v>1</v>
      </c>
      <c r="K323" s="474">
        <f t="shared" ref="K323" si="278">G323*E323</f>
        <v>841271.75822673109</v>
      </c>
      <c r="L323" s="474">
        <f t="shared" ref="L323" si="279">H323*E323</f>
        <v>0</v>
      </c>
      <c r="M323" s="474">
        <f t="shared" ref="M323" si="280">K323+L323</f>
        <v>841271.75822673109</v>
      </c>
      <c r="N323" s="609"/>
    </row>
    <row r="324" spans="1:14" s="493" customFormat="1" ht="12.75">
      <c r="A324" s="476">
        <v>4</v>
      </c>
      <c r="B324" s="506" t="s">
        <v>374</v>
      </c>
      <c r="C324" s="496"/>
      <c r="D324" s="497"/>
      <c r="E324" s="498"/>
      <c r="F324" s="498"/>
      <c r="G324" s="482"/>
      <c r="H324" s="482"/>
      <c r="I324" s="483"/>
      <c r="J324" s="482"/>
      <c r="K324" s="503"/>
      <c r="L324" s="503"/>
      <c r="M324" s="503"/>
      <c r="N324" s="609"/>
    </row>
    <row r="325" spans="1:14">
      <c r="A325" s="467">
        <v>4.01</v>
      </c>
      <c r="B325" s="508" t="s">
        <v>544</v>
      </c>
      <c r="C325" s="469">
        <v>990</v>
      </c>
      <c r="D325" s="479" t="s">
        <v>30</v>
      </c>
      <c r="E325" s="488">
        <v>60</v>
      </c>
      <c r="F325" s="488">
        <v>59400</v>
      </c>
      <c r="G325" s="460">
        <v>990</v>
      </c>
      <c r="H325" s="472"/>
      <c r="I325" s="472">
        <f t="shared" ref="I325" si="281">G325+H325</f>
        <v>990</v>
      </c>
      <c r="J325" s="473">
        <f t="shared" ref="J325" si="282">I325/C325</f>
        <v>1</v>
      </c>
      <c r="K325" s="474">
        <f t="shared" ref="K325" si="283">G325*E325</f>
        <v>59400</v>
      </c>
      <c r="L325" s="474">
        <f t="shared" ref="L325" si="284">H325*E325</f>
        <v>0</v>
      </c>
      <c r="M325" s="474">
        <f t="shared" ref="M325" si="285">K325+L325</f>
        <v>59400</v>
      </c>
      <c r="N325" s="609"/>
    </row>
    <row r="326" spans="1:14" s="493" customFormat="1" ht="12.75">
      <c r="A326" s="476">
        <v>5</v>
      </c>
      <c r="B326" s="506" t="s">
        <v>483</v>
      </c>
      <c r="C326" s="507"/>
      <c r="D326" s="497"/>
      <c r="E326" s="498"/>
      <c r="F326" s="552"/>
      <c r="G326" s="482"/>
      <c r="H326" s="482"/>
      <c r="I326" s="483"/>
      <c r="J326" s="482"/>
      <c r="K326" s="503"/>
      <c r="L326" s="503"/>
      <c r="M326" s="503"/>
      <c r="N326" s="609"/>
    </row>
    <row r="327" spans="1:14" s="446" customFormat="1" ht="12.75">
      <c r="A327" s="467">
        <v>5.01</v>
      </c>
      <c r="B327" s="508" t="s">
        <v>545</v>
      </c>
      <c r="C327" s="469">
        <v>45.72</v>
      </c>
      <c r="D327" s="479" t="s">
        <v>30</v>
      </c>
      <c r="E327" s="488">
        <v>5527.9698019801981</v>
      </c>
      <c r="F327" s="488">
        <v>252738.78</v>
      </c>
      <c r="G327" s="460">
        <v>45.72</v>
      </c>
      <c r="H327" s="472"/>
      <c r="I327" s="472">
        <f t="shared" ref="I327:I328" si="286">G327+H327</f>
        <v>45.72</v>
      </c>
      <c r="J327" s="473">
        <f t="shared" ref="J327:J328" si="287">I327/C327</f>
        <v>1</v>
      </c>
      <c r="K327" s="474">
        <f t="shared" ref="K327:K328" si="288">G327*E327</f>
        <v>252738.77934653466</v>
      </c>
      <c r="L327" s="474">
        <f t="shared" ref="L327:L328" si="289">H327*E327</f>
        <v>0</v>
      </c>
      <c r="M327" s="474">
        <f t="shared" ref="M327:M328" si="290">K327+L327</f>
        <v>252738.77934653466</v>
      </c>
      <c r="N327" s="609"/>
    </row>
    <row r="328" spans="1:14">
      <c r="A328" s="467">
        <v>5.0199999999999996</v>
      </c>
      <c r="B328" s="508" t="s">
        <v>485</v>
      </c>
      <c r="C328" s="469">
        <v>4</v>
      </c>
      <c r="D328" s="479" t="s">
        <v>50</v>
      </c>
      <c r="E328" s="488">
        <v>6509.6</v>
      </c>
      <c r="F328" s="488">
        <v>26038.400000000001</v>
      </c>
      <c r="G328" s="460">
        <v>4</v>
      </c>
      <c r="H328" s="472"/>
      <c r="I328" s="472">
        <f t="shared" si="286"/>
        <v>4</v>
      </c>
      <c r="J328" s="473">
        <f t="shared" si="287"/>
        <v>1</v>
      </c>
      <c r="K328" s="474">
        <f t="shared" si="288"/>
        <v>26038.400000000001</v>
      </c>
      <c r="L328" s="474">
        <f t="shared" si="289"/>
        <v>0</v>
      </c>
      <c r="M328" s="474">
        <f t="shared" si="290"/>
        <v>26038.400000000001</v>
      </c>
      <c r="N328" s="609"/>
    </row>
    <row r="329" spans="1:14">
      <c r="A329" s="476">
        <v>6</v>
      </c>
      <c r="B329" s="506" t="s">
        <v>539</v>
      </c>
      <c r="C329" s="469"/>
      <c r="D329" s="479"/>
      <c r="E329" s="480"/>
      <c r="F329" s="505"/>
      <c r="G329" s="463"/>
      <c r="H329" s="463"/>
      <c r="I329" s="521"/>
      <c r="J329" s="463"/>
      <c r="K329" s="522"/>
      <c r="L329" s="465"/>
      <c r="M329" s="465"/>
      <c r="N329" s="609"/>
    </row>
    <row r="330" spans="1:14">
      <c r="A330" s="467">
        <v>6.01</v>
      </c>
      <c r="B330" s="508" t="s">
        <v>377</v>
      </c>
      <c r="C330" s="469">
        <v>6</v>
      </c>
      <c r="D330" s="479" t="s">
        <v>50</v>
      </c>
      <c r="E330" s="488">
        <v>3819.7368000000001</v>
      </c>
      <c r="F330" s="488">
        <v>22918.42</v>
      </c>
      <c r="G330" s="460">
        <v>6</v>
      </c>
      <c r="H330" s="472"/>
      <c r="I330" s="472">
        <f t="shared" ref="I330" si="291">G330+H330</f>
        <v>6</v>
      </c>
      <c r="J330" s="473">
        <f t="shared" ref="J330" si="292">I330/C330</f>
        <v>1</v>
      </c>
      <c r="K330" s="474">
        <f t="shared" ref="K330" si="293">G330*E330</f>
        <v>22918.4208</v>
      </c>
      <c r="L330" s="474">
        <f t="shared" ref="L330" si="294">H330*E330</f>
        <v>0</v>
      </c>
      <c r="M330" s="474">
        <f t="shared" ref="M330" si="295">K330+L330</f>
        <v>22918.4208</v>
      </c>
      <c r="N330" s="609"/>
    </row>
    <row r="331" spans="1:14" s="493" customFormat="1" ht="12.75">
      <c r="A331" s="476">
        <v>7</v>
      </c>
      <c r="B331" s="506" t="s">
        <v>487</v>
      </c>
      <c r="C331" s="496"/>
      <c r="D331" s="497"/>
      <c r="E331" s="498"/>
      <c r="F331" s="552"/>
      <c r="G331" s="482"/>
      <c r="H331" s="482"/>
      <c r="I331" s="483"/>
      <c r="J331" s="482"/>
      <c r="K331" s="503"/>
      <c r="L331" s="503"/>
      <c r="M331" s="503"/>
      <c r="N331" s="609"/>
    </row>
    <row r="332" spans="1:14" s="446" customFormat="1" ht="24">
      <c r="A332" s="467">
        <v>7.01</v>
      </c>
      <c r="B332" s="508" t="s">
        <v>546</v>
      </c>
      <c r="C332" s="469">
        <v>1</v>
      </c>
      <c r="D332" s="479" t="s">
        <v>50</v>
      </c>
      <c r="E332" s="488">
        <v>38341.620000000003</v>
      </c>
      <c r="F332" s="488">
        <v>38341.620000000003</v>
      </c>
      <c r="G332" s="460">
        <v>1</v>
      </c>
      <c r="H332" s="472"/>
      <c r="I332" s="472">
        <f t="shared" ref="I332:I333" si="296">G332+H332</f>
        <v>1</v>
      </c>
      <c r="J332" s="473">
        <f t="shared" ref="J332:J333" si="297">I332/C332</f>
        <v>1</v>
      </c>
      <c r="K332" s="474">
        <f t="shared" ref="K332:K333" si="298">G332*E332</f>
        <v>38341.620000000003</v>
      </c>
      <c r="L332" s="474">
        <f t="shared" ref="L332:L333" si="299">H332*E332</f>
        <v>0</v>
      </c>
      <c r="M332" s="474">
        <f t="shared" ref="M332:M333" si="300">K332+L332</f>
        <v>38341.620000000003</v>
      </c>
      <c r="N332" s="609"/>
    </row>
    <row r="333" spans="1:14">
      <c r="A333" s="467">
        <v>7.02</v>
      </c>
      <c r="B333" s="508" t="s">
        <v>547</v>
      </c>
      <c r="C333" s="469">
        <v>1</v>
      </c>
      <c r="D333" s="479" t="s">
        <v>50</v>
      </c>
      <c r="E333" s="488">
        <v>32175</v>
      </c>
      <c r="F333" s="488">
        <v>32175</v>
      </c>
      <c r="G333" s="460">
        <v>1</v>
      </c>
      <c r="H333" s="472"/>
      <c r="I333" s="472">
        <f t="shared" si="296"/>
        <v>1</v>
      </c>
      <c r="J333" s="473">
        <f t="shared" si="297"/>
        <v>1</v>
      </c>
      <c r="K333" s="474">
        <f t="shared" si="298"/>
        <v>32175</v>
      </c>
      <c r="L333" s="474">
        <f t="shared" si="299"/>
        <v>0</v>
      </c>
      <c r="M333" s="474">
        <f t="shared" si="300"/>
        <v>32175</v>
      </c>
      <c r="N333" s="609"/>
    </row>
    <row r="334" spans="1:14" s="555" customFormat="1" ht="12.75">
      <c r="A334" s="476">
        <v>8</v>
      </c>
      <c r="B334" s="506" t="s">
        <v>383</v>
      </c>
      <c r="C334" s="496"/>
      <c r="D334" s="497"/>
      <c r="E334" s="498"/>
      <c r="F334" s="552"/>
      <c r="G334" s="482"/>
      <c r="H334" s="482"/>
      <c r="I334" s="482"/>
      <c r="J334" s="482"/>
      <c r="K334" s="528"/>
      <c r="L334" s="528"/>
      <c r="M334" s="528"/>
      <c r="N334" s="609"/>
    </row>
    <row r="335" spans="1:14" s="515" customFormat="1" ht="17.100000000000001" customHeight="1">
      <c r="A335" s="489">
        <v>8.01</v>
      </c>
      <c r="B335" s="508" t="s">
        <v>548</v>
      </c>
      <c r="C335" s="490">
        <v>1</v>
      </c>
      <c r="D335" s="479" t="s">
        <v>50</v>
      </c>
      <c r="E335" s="491">
        <v>5296.5359307999997</v>
      </c>
      <c r="F335" s="491">
        <v>5296.5359307999997</v>
      </c>
      <c r="G335" s="460">
        <v>1</v>
      </c>
      <c r="H335" s="472"/>
      <c r="I335" s="472">
        <f t="shared" ref="I335:I336" si="301">G335+H335</f>
        <v>1</v>
      </c>
      <c r="J335" s="473">
        <f t="shared" ref="J335:J336" si="302">I335/C335</f>
        <v>1</v>
      </c>
      <c r="K335" s="474">
        <f t="shared" ref="K335:K336" si="303">G335*E335</f>
        <v>5296.5359307999997</v>
      </c>
      <c r="L335" s="474">
        <f t="shared" ref="L335:L336" si="304">H335*E335</f>
        <v>0</v>
      </c>
      <c r="M335" s="474">
        <f t="shared" ref="M335:M337" si="305">K335+L335</f>
        <v>5296.5359307999997</v>
      </c>
      <c r="N335" s="609"/>
    </row>
    <row r="336" spans="1:14">
      <c r="A336" s="467">
        <v>8.02</v>
      </c>
      <c r="B336" s="556" t="s">
        <v>549</v>
      </c>
      <c r="C336" s="490">
        <v>1</v>
      </c>
      <c r="D336" s="478" t="s">
        <v>50</v>
      </c>
      <c r="E336" s="557">
        <v>6025.1239134999996</v>
      </c>
      <c r="F336" s="558">
        <v>6025.1239134999996</v>
      </c>
      <c r="G336" s="460">
        <v>1</v>
      </c>
      <c r="H336" s="472"/>
      <c r="I336" s="472">
        <f t="shared" si="301"/>
        <v>1</v>
      </c>
      <c r="J336" s="473">
        <f t="shared" si="302"/>
        <v>1</v>
      </c>
      <c r="K336" s="474">
        <f t="shared" si="303"/>
        <v>6025.1239134999996</v>
      </c>
      <c r="L336" s="474">
        <f t="shared" si="304"/>
        <v>0</v>
      </c>
      <c r="M336" s="474">
        <f t="shared" si="305"/>
        <v>6025.1239134999996</v>
      </c>
      <c r="N336" s="609"/>
    </row>
    <row r="337" spans="1:14" s="493" customFormat="1" ht="12.75">
      <c r="A337" s="476"/>
      <c r="B337" s="477" t="s">
        <v>245</v>
      </c>
      <c r="C337" s="476"/>
      <c r="D337" s="507"/>
      <c r="E337" s="476"/>
      <c r="F337" s="559">
        <f>SUM(F315:F336)</f>
        <v>1960268.8780710311</v>
      </c>
      <c r="G337" s="482"/>
      <c r="H337" s="482"/>
      <c r="I337" s="482"/>
      <c r="J337" s="482"/>
      <c r="K337" s="547">
        <f>SUM(K315:K336)</f>
        <v>1960268.8766175658</v>
      </c>
      <c r="L337" s="547">
        <f>SUM(L315:L336)</f>
        <v>0</v>
      </c>
      <c r="M337" s="484">
        <f t="shared" si="305"/>
        <v>1960268.8766175658</v>
      </c>
      <c r="N337" s="609"/>
    </row>
    <row r="338" spans="1:14" s="493" customFormat="1" ht="24">
      <c r="A338" s="476" t="s">
        <v>241</v>
      </c>
      <c r="B338" s="506" t="s">
        <v>550</v>
      </c>
      <c r="C338" s="476"/>
      <c r="D338" s="507"/>
      <c r="E338" s="476"/>
      <c r="F338" s="506"/>
      <c r="G338" s="482"/>
      <c r="H338" s="482"/>
      <c r="I338" s="482"/>
      <c r="J338" s="482"/>
      <c r="K338" s="528"/>
      <c r="L338" s="528"/>
      <c r="M338" s="528"/>
      <c r="N338" s="609"/>
    </row>
    <row r="339" spans="1:14" s="493" customFormat="1" ht="12.95" customHeight="1">
      <c r="A339" s="476">
        <v>1</v>
      </c>
      <c r="B339" s="477" t="s">
        <v>365</v>
      </c>
      <c r="C339" s="476"/>
      <c r="D339" s="507"/>
      <c r="E339" s="476"/>
      <c r="F339" s="476"/>
      <c r="G339" s="482"/>
      <c r="H339" s="482"/>
      <c r="I339" s="482"/>
      <c r="J339" s="482"/>
      <c r="K339" s="528"/>
      <c r="L339" s="528"/>
      <c r="M339" s="528"/>
      <c r="N339" s="609"/>
    </row>
    <row r="340" spans="1:14" ht="12.95" customHeight="1">
      <c r="A340" s="467">
        <v>1.01</v>
      </c>
      <c r="B340" s="556" t="s">
        <v>29</v>
      </c>
      <c r="C340" s="490">
        <v>1580</v>
      </c>
      <c r="D340" s="478" t="s">
        <v>264</v>
      </c>
      <c r="E340" s="467">
        <v>60</v>
      </c>
      <c r="F340" s="471">
        <v>94800</v>
      </c>
      <c r="G340" s="460">
        <v>1580</v>
      </c>
      <c r="H340" s="472"/>
      <c r="I340" s="472">
        <f t="shared" ref="I340" si="306">G340+H340</f>
        <v>1580</v>
      </c>
      <c r="J340" s="473">
        <f t="shared" ref="J340" si="307">I340/C340</f>
        <v>1</v>
      </c>
      <c r="K340" s="474">
        <f t="shared" ref="K340" si="308">G340*E340</f>
        <v>94800</v>
      </c>
      <c r="L340" s="474">
        <f t="shared" ref="L340" si="309">H340*E340</f>
        <v>0</v>
      </c>
      <c r="M340" s="474">
        <f t="shared" ref="M340" si="310">K340+L340</f>
        <v>94800</v>
      </c>
      <c r="N340" s="609"/>
    </row>
    <row r="341" spans="1:14" s="493" customFormat="1" ht="12.75">
      <c r="A341" s="476">
        <v>2</v>
      </c>
      <c r="B341" s="477" t="s">
        <v>250</v>
      </c>
      <c r="C341" s="490"/>
      <c r="D341" s="507"/>
      <c r="E341" s="476"/>
      <c r="F341" s="559"/>
      <c r="G341" s="482"/>
      <c r="H341" s="482"/>
      <c r="I341" s="482"/>
      <c r="J341" s="482"/>
      <c r="K341" s="528"/>
      <c r="L341" s="528"/>
      <c r="M341" s="528"/>
      <c r="N341" s="609"/>
    </row>
    <row r="342" spans="1:14">
      <c r="A342" s="467">
        <v>2.0099999999999998</v>
      </c>
      <c r="B342" s="556" t="s">
        <v>37</v>
      </c>
      <c r="C342" s="490">
        <v>1023.84</v>
      </c>
      <c r="D342" s="478" t="s">
        <v>38</v>
      </c>
      <c r="E342" s="467">
        <v>198</v>
      </c>
      <c r="F342" s="471">
        <v>202720.32</v>
      </c>
      <c r="G342" s="460">
        <v>1023.84</v>
      </c>
      <c r="H342" s="472"/>
      <c r="I342" s="472">
        <f t="shared" ref="I342:I346" si="311">G342+H342</f>
        <v>1023.84</v>
      </c>
      <c r="J342" s="473">
        <f t="shared" ref="J342:J346" si="312">I342/C342</f>
        <v>1</v>
      </c>
      <c r="K342" s="474">
        <f t="shared" ref="K342:K346" si="313">G342*E342</f>
        <v>202720.32</v>
      </c>
      <c r="L342" s="474">
        <f t="shared" ref="L342:L346" si="314">H342*E342</f>
        <v>0</v>
      </c>
      <c r="M342" s="474">
        <f t="shared" ref="M342:M346" si="315">K342+L342</f>
        <v>202720.32</v>
      </c>
      <c r="N342" s="609"/>
    </row>
    <row r="343" spans="1:14">
      <c r="A343" s="467">
        <v>2.02</v>
      </c>
      <c r="B343" s="556" t="s">
        <v>369</v>
      </c>
      <c r="C343" s="490">
        <v>94.800000000000011</v>
      </c>
      <c r="D343" s="478" t="s">
        <v>38</v>
      </c>
      <c r="E343" s="467">
        <v>940.5</v>
      </c>
      <c r="F343" s="471">
        <v>89159.4</v>
      </c>
      <c r="G343" s="460">
        <v>94.800000000000011</v>
      </c>
      <c r="H343" s="472"/>
      <c r="I343" s="472">
        <f t="shared" si="311"/>
        <v>94.800000000000011</v>
      </c>
      <c r="J343" s="473">
        <f t="shared" si="312"/>
        <v>1</v>
      </c>
      <c r="K343" s="474">
        <f t="shared" si="313"/>
        <v>89159.400000000009</v>
      </c>
      <c r="L343" s="474">
        <f t="shared" si="314"/>
        <v>0</v>
      </c>
      <c r="M343" s="474">
        <f t="shared" si="315"/>
        <v>89159.400000000009</v>
      </c>
      <c r="N343" s="609"/>
    </row>
    <row r="344" spans="1:14">
      <c r="A344" s="467">
        <v>2.0299999999999998</v>
      </c>
      <c r="B344" s="556" t="s">
        <v>370</v>
      </c>
      <c r="C344" s="490">
        <v>614.30399999999997</v>
      </c>
      <c r="D344" s="478" t="s">
        <v>38</v>
      </c>
      <c r="E344" s="467">
        <v>539.54999999999995</v>
      </c>
      <c r="F344" s="471">
        <v>331447.71999999997</v>
      </c>
      <c r="G344" s="460">
        <v>614.30399999999997</v>
      </c>
      <c r="H344" s="472"/>
      <c r="I344" s="472">
        <f t="shared" si="311"/>
        <v>614.30399999999997</v>
      </c>
      <c r="J344" s="473">
        <f t="shared" si="312"/>
        <v>1</v>
      </c>
      <c r="K344" s="474">
        <f t="shared" si="313"/>
        <v>331447.72319999995</v>
      </c>
      <c r="L344" s="474">
        <f t="shared" si="314"/>
        <v>0</v>
      </c>
      <c r="M344" s="474">
        <f t="shared" si="315"/>
        <v>331447.72319999995</v>
      </c>
      <c r="N344" s="609"/>
    </row>
    <row r="345" spans="1:14">
      <c r="A345" s="467">
        <v>2.04</v>
      </c>
      <c r="B345" s="556" t="s">
        <v>253</v>
      </c>
      <c r="C345" s="490">
        <v>511.92000000000007</v>
      </c>
      <c r="D345" s="478" t="s">
        <v>38</v>
      </c>
      <c r="E345" s="467">
        <v>247.5</v>
      </c>
      <c r="F345" s="471">
        <v>126700.2</v>
      </c>
      <c r="G345" s="460">
        <v>511.92000000000007</v>
      </c>
      <c r="H345" s="472"/>
      <c r="I345" s="472">
        <f t="shared" si="311"/>
        <v>511.92000000000007</v>
      </c>
      <c r="J345" s="473">
        <f t="shared" si="312"/>
        <v>1</v>
      </c>
      <c r="K345" s="474">
        <f t="shared" si="313"/>
        <v>126700.20000000001</v>
      </c>
      <c r="L345" s="474">
        <f t="shared" si="314"/>
        <v>0</v>
      </c>
      <c r="M345" s="474">
        <f t="shared" si="315"/>
        <v>126700.20000000001</v>
      </c>
      <c r="N345" s="609"/>
    </row>
    <row r="346" spans="1:14" ht="24">
      <c r="A346" s="467">
        <v>2.0499999999999998</v>
      </c>
      <c r="B346" s="556" t="s">
        <v>371</v>
      </c>
      <c r="C346" s="490">
        <v>307.15199999999999</v>
      </c>
      <c r="D346" s="478" t="s">
        <v>38</v>
      </c>
      <c r="E346" s="467">
        <v>762.3</v>
      </c>
      <c r="F346" s="471">
        <v>234141.97</v>
      </c>
      <c r="G346" s="460">
        <v>307.15199999999999</v>
      </c>
      <c r="H346" s="472"/>
      <c r="I346" s="472">
        <f t="shared" si="311"/>
        <v>307.15199999999999</v>
      </c>
      <c r="J346" s="473">
        <f t="shared" si="312"/>
        <v>1</v>
      </c>
      <c r="K346" s="474">
        <f t="shared" si="313"/>
        <v>234141.96959999998</v>
      </c>
      <c r="L346" s="474">
        <f t="shared" si="314"/>
        <v>0</v>
      </c>
      <c r="M346" s="474">
        <f t="shared" si="315"/>
        <v>234141.96959999998</v>
      </c>
      <c r="N346" s="609"/>
    </row>
    <row r="347" spans="1:14" s="493" customFormat="1" ht="12.75">
      <c r="A347" s="476">
        <v>3</v>
      </c>
      <c r="B347" s="485" t="s">
        <v>372</v>
      </c>
      <c r="C347" s="507"/>
      <c r="D347" s="497"/>
      <c r="E347" s="498"/>
      <c r="F347" s="552"/>
      <c r="G347" s="482"/>
      <c r="H347" s="482"/>
      <c r="I347" s="527"/>
      <c r="J347" s="551"/>
      <c r="K347" s="503"/>
      <c r="L347" s="503"/>
      <c r="M347" s="503"/>
      <c r="N347" s="609"/>
    </row>
    <row r="348" spans="1:14">
      <c r="A348" s="467">
        <v>3.01</v>
      </c>
      <c r="B348" s="68" t="s">
        <v>543</v>
      </c>
      <c r="C348" s="469">
        <v>1659</v>
      </c>
      <c r="D348" s="479" t="s">
        <v>264</v>
      </c>
      <c r="E348" s="488">
        <v>809.30424071835603</v>
      </c>
      <c r="F348" s="505">
        <v>1342635.74</v>
      </c>
      <c r="G348" s="460">
        <v>1465</v>
      </c>
      <c r="H348" s="472"/>
      <c r="I348" s="472">
        <f t="shared" ref="I348:I349" si="316">G348+H348</f>
        <v>1465</v>
      </c>
      <c r="J348" s="473">
        <f t="shared" ref="J348:J349" si="317">I348/C348</f>
        <v>0.88306208559373112</v>
      </c>
      <c r="K348" s="474">
        <f t="shared" ref="K348:K349" si="318">G348*E348</f>
        <v>1185630.7126523915</v>
      </c>
      <c r="L348" s="474">
        <f t="shared" ref="L348:L349" si="319">H348*E348</f>
        <v>0</v>
      </c>
      <c r="M348" s="474">
        <f t="shared" ref="M348:M349" si="320">K348+L348</f>
        <v>1185630.7126523915</v>
      </c>
      <c r="N348" s="609"/>
    </row>
    <row r="349" spans="1:14">
      <c r="A349" s="467">
        <v>3.02</v>
      </c>
      <c r="B349" s="68" t="s">
        <v>551</v>
      </c>
      <c r="C349" s="469">
        <v>450</v>
      </c>
      <c r="D349" s="479" t="s">
        <v>264</v>
      </c>
      <c r="E349" s="488">
        <v>205.86999999999998</v>
      </c>
      <c r="F349" s="505">
        <v>92641.5</v>
      </c>
      <c r="G349" s="460">
        <v>0</v>
      </c>
      <c r="H349" s="472"/>
      <c r="I349" s="472">
        <f t="shared" si="316"/>
        <v>0</v>
      </c>
      <c r="J349" s="473">
        <f t="shared" si="317"/>
        <v>0</v>
      </c>
      <c r="K349" s="474">
        <f t="shared" si="318"/>
        <v>0</v>
      </c>
      <c r="L349" s="474">
        <f t="shared" si="319"/>
        <v>0</v>
      </c>
      <c r="M349" s="474">
        <f t="shared" si="320"/>
        <v>0</v>
      </c>
      <c r="N349" s="609"/>
    </row>
    <row r="350" spans="1:14" s="493" customFormat="1" ht="12.75">
      <c r="A350" s="476">
        <v>4</v>
      </c>
      <c r="B350" s="485" t="s">
        <v>374</v>
      </c>
      <c r="C350" s="496"/>
      <c r="D350" s="497"/>
      <c r="E350" s="498"/>
      <c r="F350" s="552"/>
      <c r="G350" s="527"/>
      <c r="H350" s="482"/>
      <c r="I350" s="527"/>
      <c r="J350" s="551"/>
      <c r="K350" s="503"/>
      <c r="L350" s="503"/>
      <c r="M350" s="503"/>
      <c r="N350" s="609"/>
    </row>
    <row r="351" spans="1:14" s="493" customFormat="1" ht="12.75">
      <c r="A351" s="467">
        <v>4.01</v>
      </c>
      <c r="B351" s="68" t="s">
        <v>544</v>
      </c>
      <c r="C351" s="469">
        <v>1580</v>
      </c>
      <c r="D351" s="479" t="s">
        <v>30</v>
      </c>
      <c r="E351" s="488">
        <v>60</v>
      </c>
      <c r="F351" s="505">
        <v>94800</v>
      </c>
      <c r="G351" s="460">
        <v>1465</v>
      </c>
      <c r="H351" s="472"/>
      <c r="I351" s="472">
        <f t="shared" ref="I351" si="321">G351+H351</f>
        <v>1465</v>
      </c>
      <c r="J351" s="473">
        <f t="shared" ref="J351" si="322">I351/C351</f>
        <v>0.92721518987341767</v>
      </c>
      <c r="K351" s="474">
        <f t="shared" ref="K351" si="323">G351*E351</f>
        <v>87900</v>
      </c>
      <c r="L351" s="474">
        <f t="shared" ref="L351" si="324">H351*E351</f>
        <v>0</v>
      </c>
      <c r="M351" s="474">
        <f t="shared" ref="M351" si="325">K351+L351</f>
        <v>87900</v>
      </c>
      <c r="N351" s="609"/>
    </row>
    <row r="352" spans="1:14" s="493" customFormat="1" ht="12.75">
      <c r="A352" s="495">
        <v>5</v>
      </c>
      <c r="B352" s="485" t="s">
        <v>483</v>
      </c>
      <c r="C352" s="507"/>
      <c r="D352" s="497"/>
      <c r="E352" s="498"/>
      <c r="F352" s="552"/>
      <c r="G352" s="482"/>
      <c r="H352" s="482"/>
      <c r="I352" s="527"/>
      <c r="J352" s="482"/>
      <c r="K352" s="528"/>
      <c r="L352" s="529"/>
      <c r="M352" s="529"/>
      <c r="N352" s="609"/>
    </row>
    <row r="353" spans="1:14" s="446" customFormat="1" ht="12.75">
      <c r="A353" s="467">
        <v>5.01</v>
      </c>
      <c r="B353" s="508" t="s">
        <v>545</v>
      </c>
      <c r="C353" s="469">
        <v>30</v>
      </c>
      <c r="D353" s="479" t="s">
        <v>30</v>
      </c>
      <c r="E353" s="488">
        <v>5527.9698019801981</v>
      </c>
      <c r="F353" s="505">
        <v>165839.09405940594</v>
      </c>
      <c r="G353" s="460">
        <v>30</v>
      </c>
      <c r="H353" s="472"/>
      <c r="I353" s="472">
        <f t="shared" ref="I353:I354" si="326">G353+H353</f>
        <v>30</v>
      </c>
      <c r="J353" s="473">
        <f t="shared" ref="J353:J354" si="327">I353/C353</f>
        <v>1</v>
      </c>
      <c r="K353" s="474">
        <f t="shared" ref="K353:K354" si="328">G353*E353</f>
        <v>165839.09405940594</v>
      </c>
      <c r="L353" s="474">
        <f t="shared" ref="L353:L354" si="329">H353*E353</f>
        <v>0</v>
      </c>
      <c r="M353" s="474">
        <f t="shared" ref="M353:M354" si="330">K353+L353</f>
        <v>165839.09405940594</v>
      </c>
      <c r="N353" s="609"/>
    </row>
    <row r="354" spans="1:14" s="446" customFormat="1" ht="12.75">
      <c r="A354" s="467">
        <v>5.0199999999999996</v>
      </c>
      <c r="B354" s="508" t="s">
        <v>485</v>
      </c>
      <c r="C354" s="469">
        <v>5</v>
      </c>
      <c r="D354" s="479" t="s">
        <v>50</v>
      </c>
      <c r="E354" s="488">
        <v>6509.6</v>
      </c>
      <c r="F354" s="505">
        <v>32548</v>
      </c>
      <c r="G354" s="460">
        <v>5</v>
      </c>
      <c r="H354" s="472"/>
      <c r="I354" s="472">
        <f t="shared" si="326"/>
        <v>5</v>
      </c>
      <c r="J354" s="473">
        <f t="shared" si="327"/>
        <v>1</v>
      </c>
      <c r="K354" s="474">
        <f t="shared" si="328"/>
        <v>32548</v>
      </c>
      <c r="L354" s="474">
        <f t="shared" si="329"/>
        <v>0</v>
      </c>
      <c r="M354" s="474">
        <f t="shared" si="330"/>
        <v>32548</v>
      </c>
      <c r="N354" s="609"/>
    </row>
    <row r="355" spans="1:14">
      <c r="A355" s="476">
        <v>6</v>
      </c>
      <c r="B355" s="506" t="s">
        <v>539</v>
      </c>
      <c r="C355" s="496"/>
      <c r="D355" s="497"/>
      <c r="E355" s="498"/>
      <c r="F355" s="552"/>
      <c r="G355" s="463"/>
      <c r="H355" s="463"/>
      <c r="I355" s="521"/>
      <c r="J355" s="487"/>
      <c r="K355" s="464"/>
      <c r="L355" s="464"/>
      <c r="M355" s="464"/>
      <c r="N355" s="609"/>
    </row>
    <row r="356" spans="1:14" s="446" customFormat="1" ht="12.75">
      <c r="A356" s="467">
        <v>6.01</v>
      </c>
      <c r="B356" s="508" t="s">
        <v>377</v>
      </c>
      <c r="C356" s="469">
        <v>94</v>
      </c>
      <c r="D356" s="479" t="s">
        <v>50</v>
      </c>
      <c r="E356" s="488">
        <v>3819.7368000000001</v>
      </c>
      <c r="F356" s="505">
        <v>359055.26</v>
      </c>
      <c r="G356" s="460">
        <v>94</v>
      </c>
      <c r="H356" s="472"/>
      <c r="I356" s="472">
        <f t="shared" ref="I356" si="331">G356+H356</f>
        <v>94</v>
      </c>
      <c r="J356" s="473">
        <f t="shared" ref="J356" si="332">I356/C356</f>
        <v>1</v>
      </c>
      <c r="K356" s="474">
        <f t="shared" ref="K356" si="333">G356*E356</f>
        <v>359055.25920000003</v>
      </c>
      <c r="L356" s="474">
        <f t="shared" ref="L356" si="334">H356*E356</f>
        <v>0</v>
      </c>
      <c r="M356" s="474">
        <f t="shared" ref="M356" si="335">K356+L356</f>
        <v>359055.25920000003</v>
      </c>
      <c r="N356" s="609"/>
    </row>
    <row r="357" spans="1:14" s="493" customFormat="1" ht="12.75">
      <c r="A357" s="476">
        <v>7</v>
      </c>
      <c r="B357" s="506" t="s">
        <v>383</v>
      </c>
      <c r="C357" s="496"/>
      <c r="D357" s="497"/>
      <c r="E357" s="498"/>
      <c r="F357" s="552"/>
      <c r="G357" s="482"/>
      <c r="H357" s="482"/>
      <c r="I357" s="527"/>
      <c r="J357" s="551"/>
      <c r="K357" s="503"/>
      <c r="L357" s="503"/>
      <c r="M357" s="503"/>
      <c r="N357" s="609"/>
    </row>
    <row r="358" spans="1:14" s="493" customFormat="1" ht="12.75">
      <c r="A358" s="467">
        <v>7.01</v>
      </c>
      <c r="B358" s="508" t="s">
        <v>552</v>
      </c>
      <c r="C358" s="469">
        <v>1</v>
      </c>
      <c r="D358" s="479" t="s">
        <v>50</v>
      </c>
      <c r="E358" s="488">
        <v>2416.7850000000003</v>
      </c>
      <c r="F358" s="505">
        <v>2416.79</v>
      </c>
      <c r="G358" s="460">
        <v>1</v>
      </c>
      <c r="H358" s="472"/>
      <c r="I358" s="472">
        <f t="shared" ref="I358" si="336">G358+H358</f>
        <v>1</v>
      </c>
      <c r="J358" s="473">
        <f t="shared" ref="J358" si="337">I358/C358</f>
        <v>1</v>
      </c>
      <c r="K358" s="474">
        <f t="shared" ref="K358" si="338">G358*E358</f>
        <v>2416.7850000000003</v>
      </c>
      <c r="L358" s="474">
        <f t="shared" ref="L358" si="339">H358*E358</f>
        <v>0</v>
      </c>
      <c r="M358" s="474">
        <f t="shared" ref="M358" si="340">K358+L358</f>
        <v>2416.7850000000003</v>
      </c>
      <c r="N358" s="609"/>
    </row>
    <row r="359" spans="1:14" s="493" customFormat="1" ht="12.75">
      <c r="A359" s="476"/>
      <c r="B359" s="477" t="s">
        <v>44</v>
      </c>
      <c r="C359" s="507"/>
      <c r="D359" s="497"/>
      <c r="E359" s="498"/>
      <c r="F359" s="552">
        <f>SUM(F340:F358)</f>
        <v>3168905.9940594053</v>
      </c>
      <c r="G359" s="482"/>
      <c r="H359" s="482"/>
      <c r="I359" s="527"/>
      <c r="J359" s="482"/>
      <c r="K359" s="547">
        <f>SUM(K340:K358)</f>
        <v>2912359.4637117977</v>
      </c>
      <c r="L359" s="548">
        <f>SUM(L340:L358)</f>
        <v>0</v>
      </c>
      <c r="M359" s="548">
        <f>SUM(M340:M358)</f>
        <v>2912359.4637117977</v>
      </c>
      <c r="N359" s="609"/>
    </row>
    <row r="360" spans="1:14">
      <c r="A360" s="476"/>
      <c r="B360" s="506"/>
      <c r="C360" s="478"/>
      <c r="D360" s="479"/>
      <c r="E360" s="480"/>
      <c r="F360" s="505"/>
      <c r="G360" s="463"/>
      <c r="H360" s="463"/>
      <c r="I360" s="521"/>
      <c r="J360" s="463"/>
      <c r="K360" s="522"/>
      <c r="L360" s="465"/>
      <c r="M360" s="465"/>
      <c r="N360" s="609"/>
    </row>
    <row r="361" spans="1:14">
      <c r="A361" s="476"/>
      <c r="B361" s="477" t="s">
        <v>553</v>
      </c>
      <c r="C361" s="507"/>
      <c r="D361" s="497"/>
      <c r="E361" s="498"/>
      <c r="F361" s="561">
        <f>F359+F337+F312+F273+F225+F192+F165+F100+F62+F29+F15+F47</f>
        <v>90794345.822288796</v>
      </c>
      <c r="G361" s="482"/>
      <c r="H361" s="482"/>
      <c r="I361" s="527"/>
      <c r="J361" s="482"/>
      <c r="K361" s="547">
        <f>K359+K337+K312+K273+K225+K47+K15+K192+K165+K100+K29</f>
        <v>71297622.350811869</v>
      </c>
      <c r="L361" s="548">
        <f>L359+L337+L312+L273+L225+L100+L47+L29+L15+L192+L165+L133</f>
        <v>859313.45</v>
      </c>
      <c r="M361" s="548">
        <f>M359+M337+M312+M273+M225+M192+M165+M100+M47+M29+M15</f>
        <v>72156935.800811872</v>
      </c>
      <c r="N361" s="609"/>
    </row>
    <row r="362" spans="1:14">
      <c r="A362" s="416"/>
      <c r="B362" s="416"/>
      <c r="C362" s="416"/>
      <c r="D362" s="416"/>
      <c r="E362" s="416"/>
      <c r="F362" s="416"/>
      <c r="G362" s="416"/>
      <c r="H362" s="416"/>
      <c r="I362" s="416"/>
      <c r="J362" s="416"/>
      <c r="K362" s="416"/>
      <c r="L362" s="416"/>
      <c r="M362" s="416"/>
      <c r="N362" s="560"/>
    </row>
    <row r="363" spans="1:14">
      <c r="A363" s="416"/>
      <c r="B363" s="416"/>
      <c r="C363" s="416"/>
      <c r="D363" s="416" t="s">
        <v>124</v>
      </c>
      <c r="E363" s="416"/>
      <c r="F363" s="416"/>
      <c r="G363" s="416"/>
      <c r="H363" s="416"/>
      <c r="I363" s="416"/>
      <c r="J363" s="416"/>
      <c r="K363" s="416"/>
      <c r="L363" s="416"/>
      <c r="M363" s="416"/>
      <c r="N363" s="562"/>
    </row>
    <row r="364" spans="1:14">
      <c r="A364" s="416"/>
      <c r="B364" s="416"/>
      <c r="C364" s="416"/>
      <c r="D364" s="416"/>
      <c r="E364" s="416"/>
      <c r="F364" s="416"/>
      <c r="G364" s="416"/>
      <c r="H364" s="416"/>
      <c r="I364" s="416"/>
      <c r="J364" s="416"/>
      <c r="K364" s="416"/>
      <c r="L364" s="416"/>
      <c r="M364" s="416"/>
      <c r="N364" s="562"/>
    </row>
    <row r="365" spans="1:14">
      <c r="A365" s="562"/>
      <c r="B365" s="563"/>
      <c r="C365" s="564"/>
      <c r="D365" s="564"/>
      <c r="E365" s="564"/>
      <c r="F365" s="564"/>
      <c r="G365" s="564"/>
      <c r="H365" s="564"/>
      <c r="I365" s="564"/>
      <c r="J365" s="564"/>
      <c r="K365" s="565"/>
      <c r="L365" s="565"/>
      <c r="M365" s="565"/>
      <c r="N365" s="562"/>
    </row>
    <row r="366" spans="1:14">
      <c r="A366" s="562"/>
      <c r="B366" s="563"/>
      <c r="C366" s="564"/>
      <c r="D366" s="564"/>
      <c r="E366" s="564"/>
      <c r="F366" s="564"/>
      <c r="G366" s="564"/>
      <c r="H366" s="564"/>
      <c r="I366" s="564"/>
      <c r="J366" s="564"/>
      <c r="K366" s="565"/>
      <c r="L366" s="565"/>
      <c r="M366" s="565"/>
      <c r="N366" s="562"/>
    </row>
    <row r="367" spans="1:14">
      <c r="A367" s="562"/>
      <c r="B367" s="563"/>
      <c r="C367" s="564"/>
      <c r="D367" s="564"/>
      <c r="E367" s="564"/>
      <c r="F367" s="564"/>
      <c r="G367" s="564"/>
      <c r="H367" s="564"/>
      <c r="I367" s="564"/>
      <c r="J367" s="564"/>
      <c r="K367" s="565"/>
      <c r="L367" s="565"/>
      <c r="M367" s="565"/>
      <c r="N367" s="562"/>
    </row>
    <row r="368" spans="1:14">
      <c r="A368" s="562"/>
      <c r="B368" s="563"/>
      <c r="C368" s="564"/>
      <c r="D368" s="564"/>
      <c r="E368" s="564"/>
      <c r="F368" s="564"/>
      <c r="G368" s="564"/>
      <c r="H368" s="564"/>
      <c r="I368" s="564"/>
      <c r="J368" s="564"/>
      <c r="K368" s="565"/>
      <c r="L368" s="565"/>
      <c r="M368" s="565"/>
      <c r="N368" s="562"/>
    </row>
    <row r="369" spans="1:14" ht="12.95" customHeight="1">
      <c r="A369" s="562"/>
      <c r="B369" s="563"/>
      <c r="C369" s="564"/>
      <c r="D369" s="564"/>
      <c r="E369" s="564"/>
      <c r="F369" s="564"/>
      <c r="G369" s="564"/>
      <c r="H369" s="564"/>
      <c r="I369" s="564"/>
      <c r="J369" s="564"/>
      <c r="K369" s="565"/>
      <c r="L369" s="565"/>
      <c r="M369" s="565"/>
      <c r="N369" s="564"/>
    </row>
    <row r="370" spans="1:14">
      <c r="A370" s="562"/>
      <c r="B370" s="563"/>
      <c r="C370" s="564"/>
      <c r="D370" s="564"/>
      <c r="E370" s="564"/>
      <c r="F370" s="564"/>
      <c r="G370" s="564"/>
      <c r="H370" s="564"/>
      <c r="I370" s="564"/>
      <c r="J370" s="564"/>
      <c r="K370" s="565"/>
      <c r="L370" s="565"/>
      <c r="M370" s="565"/>
      <c r="N370" s="564"/>
    </row>
    <row r="371" spans="1:14" ht="27.95" customHeight="1">
      <c r="A371" s="416"/>
      <c r="B371" s="1069" t="s">
        <v>0</v>
      </c>
      <c r="C371" s="1069"/>
      <c r="D371" s="1069"/>
      <c r="E371" s="1069"/>
      <c r="F371" s="1069"/>
      <c r="G371" s="1069"/>
      <c r="H371" s="1069"/>
      <c r="I371" s="1069"/>
      <c r="J371" s="1069"/>
      <c r="K371" s="1069"/>
      <c r="L371" s="1069"/>
      <c r="M371" s="1069"/>
      <c r="N371" s="564"/>
    </row>
    <row r="372" spans="1:14" ht="22.5" customHeight="1">
      <c r="A372" s="416"/>
      <c r="B372" s="416"/>
      <c r="C372" s="566"/>
      <c r="D372" s="566"/>
      <c r="E372" s="566"/>
      <c r="F372" s="566" t="s">
        <v>1</v>
      </c>
      <c r="G372" s="566"/>
      <c r="H372" s="566"/>
      <c r="I372" s="566"/>
      <c r="J372" s="566"/>
      <c r="K372" s="566"/>
      <c r="L372" s="566"/>
      <c r="M372" s="566"/>
      <c r="N372" s="567"/>
    </row>
    <row r="373" spans="1:14">
      <c r="A373" s="416"/>
      <c r="B373" s="566"/>
      <c r="C373" s="566"/>
      <c r="D373" s="566"/>
      <c r="E373" s="566"/>
      <c r="F373" s="416"/>
      <c r="G373" s="566"/>
      <c r="H373" s="566"/>
      <c r="I373" s="566"/>
      <c r="J373" s="566"/>
      <c r="K373" s="566"/>
      <c r="L373" s="566"/>
      <c r="M373" s="568" t="s">
        <v>554</v>
      </c>
      <c r="N373" s="567"/>
    </row>
    <row r="374" spans="1:14" ht="23.1" customHeight="1">
      <c r="A374" s="416"/>
      <c r="B374" s="564"/>
      <c r="C374" s="569" t="s">
        <v>164</v>
      </c>
      <c r="D374" s="1033" t="s">
        <v>340</v>
      </c>
      <c r="E374" s="1033"/>
      <c r="F374" s="1033"/>
      <c r="G374" s="1033"/>
      <c r="H374" s="570"/>
      <c r="I374" s="564"/>
      <c r="J374" s="564"/>
      <c r="K374" s="1064" t="s">
        <v>4</v>
      </c>
      <c r="L374" s="1064"/>
      <c r="M374" s="444">
        <v>110999733.32652724</v>
      </c>
      <c r="N374" s="567"/>
    </row>
    <row r="375" spans="1:14" ht="15" customHeight="1">
      <c r="A375" s="416"/>
      <c r="B375" s="564"/>
      <c r="C375" s="443" t="s">
        <v>5</v>
      </c>
      <c r="D375" s="5">
        <v>6</v>
      </c>
      <c r="E375" s="564"/>
      <c r="F375" s="563"/>
      <c r="G375" s="563"/>
      <c r="H375" s="563"/>
      <c r="I375" s="564"/>
      <c r="J375" s="564"/>
      <c r="K375" s="564"/>
      <c r="L375" s="443" t="s">
        <v>6</v>
      </c>
      <c r="M375" s="571" t="s">
        <v>341</v>
      </c>
      <c r="N375" s="567"/>
    </row>
    <row r="376" spans="1:14" ht="24" customHeight="1">
      <c r="A376" s="416"/>
      <c r="B376" s="1064" t="s">
        <v>7</v>
      </c>
      <c r="C376" s="1064"/>
      <c r="D376" s="1070" t="s">
        <v>555</v>
      </c>
      <c r="E376" s="1070"/>
      <c r="F376" s="563"/>
      <c r="G376" s="563"/>
      <c r="H376" s="572"/>
      <c r="I376" s="564"/>
      <c r="J376" s="564"/>
      <c r="K376" s="564"/>
      <c r="L376" s="443" t="s">
        <v>9</v>
      </c>
      <c r="M376" s="573" t="s">
        <v>343</v>
      </c>
      <c r="N376" s="574"/>
    </row>
    <row r="377" spans="1:14">
      <c r="A377" s="416"/>
      <c r="B377" s="564"/>
      <c r="C377" s="443" t="s">
        <v>11</v>
      </c>
      <c r="D377" s="1006" t="s">
        <v>344</v>
      </c>
      <c r="E377" s="1006"/>
      <c r="F377" s="563"/>
      <c r="G377" s="563"/>
      <c r="H377" s="563"/>
      <c r="I377" s="564"/>
      <c r="J377" s="564"/>
      <c r="K377" s="564"/>
      <c r="L377" s="564"/>
      <c r="M377" s="564"/>
      <c r="N377" s="575"/>
    </row>
    <row r="378" spans="1:14">
      <c r="A378" s="416"/>
      <c r="B378" s="416"/>
      <c r="C378" s="443"/>
      <c r="D378" s="563"/>
      <c r="E378" s="563"/>
      <c r="F378" s="563"/>
      <c r="G378" s="563"/>
      <c r="H378" s="416"/>
      <c r="I378" s="416"/>
      <c r="J378" s="416"/>
      <c r="K378" s="564"/>
      <c r="L378" s="564"/>
      <c r="M378" s="564"/>
      <c r="N378" s="574"/>
    </row>
    <row r="379" spans="1:14">
      <c r="A379" s="416"/>
      <c r="B379" s="564"/>
      <c r="C379" s="443"/>
      <c r="D379" s="563"/>
      <c r="E379" s="563"/>
      <c r="F379" s="151" t="s">
        <v>94</v>
      </c>
      <c r="G379" s="563"/>
      <c r="H379" s="1065" t="s">
        <v>22</v>
      </c>
      <c r="I379" s="1065"/>
      <c r="J379" s="1065" t="s">
        <v>23</v>
      </c>
      <c r="K379" s="1065"/>
      <c r="L379" s="1065" t="s">
        <v>24</v>
      </c>
      <c r="M379" s="1065"/>
      <c r="N379" s="564"/>
    </row>
    <row r="380" spans="1:14">
      <c r="A380" s="416"/>
      <c r="B380" s="1065" t="s">
        <v>93</v>
      </c>
      <c r="C380" s="1065"/>
      <c r="D380" s="1065"/>
      <c r="E380" s="1065"/>
      <c r="F380" s="576">
        <f>F361</f>
        <v>90794345.822288796</v>
      </c>
      <c r="G380" s="577"/>
      <c r="H380" s="1066">
        <f>K361</f>
        <v>71297622.350811869</v>
      </c>
      <c r="I380" s="1066"/>
      <c r="J380" s="1067">
        <f>L361</f>
        <v>859313.45</v>
      </c>
      <c r="K380" s="1067"/>
      <c r="L380" s="1068">
        <f>M361</f>
        <v>72156935.800811872</v>
      </c>
      <c r="M380" s="1068"/>
      <c r="N380" s="578"/>
    </row>
    <row r="381" spans="1:14">
      <c r="A381" s="416"/>
      <c r="B381" s="564"/>
      <c r="C381" s="5" t="s">
        <v>95</v>
      </c>
      <c r="D381" s="563"/>
      <c r="E381" s="563"/>
      <c r="F381" s="563"/>
      <c r="G381" s="563"/>
      <c r="H381" s="563"/>
      <c r="I381" s="564"/>
      <c r="J381" s="564"/>
      <c r="K381" s="416"/>
      <c r="L381" s="564"/>
      <c r="M381" s="416"/>
      <c r="N381" s="579"/>
    </row>
    <row r="382" spans="1:14">
      <c r="A382" s="416"/>
      <c r="B382" s="1064" t="s">
        <v>96</v>
      </c>
      <c r="C382" s="1064"/>
      <c r="D382" s="1064"/>
      <c r="E382" s="563"/>
      <c r="F382" s="563"/>
      <c r="G382" s="563"/>
      <c r="H382" s="563"/>
      <c r="I382" s="564"/>
      <c r="J382" s="564"/>
      <c r="K382" s="416"/>
      <c r="L382" s="1067">
        <f>E383*L380</f>
        <v>2525492.7530284156</v>
      </c>
      <c r="M382" s="1067"/>
      <c r="N382" s="578"/>
    </row>
    <row r="383" spans="1:14">
      <c r="A383" s="416"/>
      <c r="B383" s="1064" t="s">
        <v>98</v>
      </c>
      <c r="C383" s="1064"/>
      <c r="D383" s="1064"/>
      <c r="E383" s="580">
        <v>3.5000000000000003E-2</v>
      </c>
      <c r="F383" s="567">
        <f>E383*F380</f>
        <v>3177802.103780108</v>
      </c>
      <c r="G383" s="567"/>
      <c r="H383" s="1071">
        <f>H380*E383</f>
        <v>2495416.7822784157</v>
      </c>
      <c r="I383" s="1071"/>
      <c r="J383" s="1067">
        <f>E383*J380</f>
        <v>30075.97075</v>
      </c>
      <c r="K383" s="1067"/>
      <c r="L383" s="1067"/>
      <c r="M383" s="1067"/>
      <c r="N383" s="581"/>
    </row>
    <row r="384" spans="1:14">
      <c r="A384" s="416"/>
      <c r="B384" s="1064" t="s">
        <v>97</v>
      </c>
      <c r="C384" s="1064"/>
      <c r="D384" s="1064"/>
      <c r="E384" s="582">
        <v>0.1</v>
      </c>
      <c r="F384" s="567">
        <f>E384*F380</f>
        <v>9079434.5822288804</v>
      </c>
      <c r="G384" s="567"/>
      <c r="H384" s="1071">
        <f>H380*E384</f>
        <v>7129762.2350811874</v>
      </c>
      <c r="I384" s="1071"/>
      <c r="J384" s="1067">
        <f>E384*J380</f>
        <v>85931.345000000001</v>
      </c>
      <c r="K384" s="1067"/>
      <c r="L384" s="1067">
        <f>E384*L380</f>
        <v>7215693.5800811872</v>
      </c>
      <c r="M384" s="1067"/>
      <c r="N384" s="583"/>
    </row>
    <row r="385" spans="1:15">
      <c r="A385" s="416"/>
      <c r="B385" s="1064" t="s">
        <v>103</v>
      </c>
      <c r="C385" s="1064"/>
      <c r="D385" s="1064"/>
      <c r="E385" s="582">
        <v>0.18</v>
      </c>
      <c r="F385" s="567">
        <f>E385*F384</f>
        <v>1634298.2248011983</v>
      </c>
      <c r="G385" s="567"/>
      <c r="H385" s="1071">
        <f>H384*E385</f>
        <v>1283357.2023146136</v>
      </c>
      <c r="I385" s="1071"/>
      <c r="J385" s="1067">
        <f>E385*J384</f>
        <v>15467.642099999999</v>
      </c>
      <c r="K385" s="1067"/>
      <c r="L385" s="1067">
        <f>E385*L384</f>
        <v>1298824.8444146137</v>
      </c>
      <c r="M385" s="1067"/>
      <c r="N385" s="583"/>
    </row>
    <row r="386" spans="1:15">
      <c r="A386" s="416"/>
      <c r="B386" s="1064" t="s">
        <v>100</v>
      </c>
      <c r="C386" s="1064"/>
      <c r="D386" s="1064"/>
      <c r="E386" s="582">
        <v>0.03</v>
      </c>
      <c r="F386" s="567">
        <f>E386*F380</f>
        <v>2723830.3746686638</v>
      </c>
      <c r="G386" s="567"/>
      <c r="H386" s="1071">
        <f>H380*E386</f>
        <v>2138928.670524356</v>
      </c>
      <c r="I386" s="1071"/>
      <c r="J386" s="1067">
        <f>E386*J380</f>
        <v>25779.403499999997</v>
      </c>
      <c r="K386" s="1067"/>
      <c r="L386" s="1067">
        <f>E386*L380</f>
        <v>2164708.074024356</v>
      </c>
      <c r="M386" s="1067"/>
      <c r="N386" s="583"/>
    </row>
    <row r="387" spans="1:15">
      <c r="A387" s="416"/>
      <c r="B387" s="1064" t="s">
        <v>168</v>
      </c>
      <c r="C387" s="1064"/>
      <c r="D387" s="1064"/>
      <c r="E387" s="584">
        <v>0.02</v>
      </c>
      <c r="F387" s="567">
        <f>E387*F380</f>
        <v>1815886.9164457759</v>
      </c>
      <c r="G387" s="567"/>
      <c r="H387" s="1071">
        <f>H380*E387</f>
        <v>1425952.4470162373</v>
      </c>
      <c r="I387" s="1071"/>
      <c r="J387" s="1068">
        <f>E387*J380</f>
        <v>17186.269</v>
      </c>
      <c r="K387" s="1068"/>
      <c r="L387" s="1067">
        <f>E387*L380</f>
        <v>1443138.7160162374</v>
      </c>
      <c r="M387" s="1067"/>
      <c r="N387" s="585"/>
    </row>
    <row r="388" spans="1:15">
      <c r="A388" s="416"/>
      <c r="B388" s="1064" t="s">
        <v>101</v>
      </c>
      <c r="C388" s="1064"/>
      <c r="D388" s="1064"/>
      <c r="E388" s="582">
        <v>0.01</v>
      </c>
      <c r="F388" s="567">
        <f>E388*F380</f>
        <v>907943.45822288794</v>
      </c>
      <c r="G388" s="567"/>
      <c r="H388" s="1071">
        <f>H380*E388</f>
        <v>712976.22350811865</v>
      </c>
      <c r="I388" s="1071"/>
      <c r="J388" s="1068">
        <f>E388*J380</f>
        <v>8593.1345000000001</v>
      </c>
      <c r="K388" s="1068"/>
      <c r="L388" s="1067">
        <f>E388*L380</f>
        <v>721569.3580081187</v>
      </c>
      <c r="M388" s="1067"/>
      <c r="N388" s="151"/>
    </row>
    <row r="389" spans="1:15">
      <c r="A389" s="416"/>
      <c r="B389" s="1064" t="s">
        <v>102</v>
      </c>
      <c r="C389" s="1064"/>
      <c r="D389" s="1064"/>
      <c r="E389" s="586">
        <v>1E-3</v>
      </c>
      <c r="F389" s="587">
        <f>E389*F380</f>
        <v>90794.3458222888</v>
      </c>
      <c r="G389" s="587"/>
      <c r="H389" s="1072">
        <f>H380*E389</f>
        <v>71297.622350811871</v>
      </c>
      <c r="I389" s="1072"/>
      <c r="J389" s="1073">
        <f>E389*J380</f>
        <v>859.31344999999999</v>
      </c>
      <c r="K389" s="1073"/>
      <c r="L389" s="1074">
        <f>E389*L380</f>
        <v>72156.935800811872</v>
      </c>
      <c r="M389" s="1074"/>
      <c r="N389" s="151"/>
    </row>
    <row r="390" spans="1:15">
      <c r="A390" s="416"/>
      <c r="B390" s="1075" t="s">
        <v>556</v>
      </c>
      <c r="C390" s="1075"/>
      <c r="D390" s="1075"/>
      <c r="E390" s="588">
        <f>E389+E388+E387+E386+E384+E383+1.8%</f>
        <v>0.21400000000000002</v>
      </c>
      <c r="F390" s="574">
        <f>F383+F384+F385+F386+F387+F388+F389</f>
        <v>19429990.005969804</v>
      </c>
      <c r="G390" s="574"/>
      <c r="H390" s="1076">
        <f>H389+H388+H387+H386+H385+H384+H383</f>
        <v>15257691.18307374</v>
      </c>
      <c r="I390" s="1076"/>
      <c r="J390" s="1077">
        <f>J383+J384+J385+J386+J387+J388+J389</f>
        <v>183893.07829999996</v>
      </c>
      <c r="K390" s="1077"/>
      <c r="L390" s="1078">
        <f>L382+L384+L385+L386+L387+L388+L389</f>
        <v>15441584.26137374</v>
      </c>
      <c r="M390" s="1078"/>
      <c r="N390" s="568"/>
    </row>
    <row r="391" spans="1:15">
      <c r="A391" s="416"/>
      <c r="B391" s="591"/>
      <c r="C391" s="563"/>
      <c r="D391" s="582"/>
      <c r="E391" s="151"/>
      <c r="F391" s="592"/>
      <c r="G391" s="592"/>
      <c r="H391" s="591"/>
      <c r="I391" s="593"/>
      <c r="J391" s="594"/>
      <c r="K391" s="416"/>
      <c r="L391" s="595"/>
      <c r="M391" s="416"/>
      <c r="N391" s="568"/>
    </row>
    <row r="392" spans="1:15">
      <c r="A392" s="416"/>
      <c r="B392" s="1064" t="s">
        <v>557</v>
      </c>
      <c r="C392" s="1064"/>
      <c r="D392" s="1064"/>
      <c r="E392" s="596"/>
      <c r="F392" s="574">
        <f>F380+F390</f>
        <v>110224335.8282586</v>
      </c>
      <c r="G392" s="574"/>
      <c r="H392" s="1080">
        <f>H380+H390</f>
        <v>86555313.533885613</v>
      </c>
      <c r="I392" s="1080"/>
      <c r="J392" s="1081">
        <f>J380+J390</f>
        <v>1043206.5282999999</v>
      </c>
      <c r="K392" s="1081"/>
      <c r="L392" s="1082">
        <f>L380+L390</f>
        <v>87598520.062185615</v>
      </c>
      <c r="M392" s="1082"/>
      <c r="N392" s="568"/>
    </row>
    <row r="393" spans="1:15">
      <c r="A393" s="416"/>
      <c r="B393" s="591"/>
      <c r="C393" s="5"/>
      <c r="D393" s="597"/>
      <c r="E393" s="596"/>
      <c r="F393" s="574"/>
      <c r="G393" s="574"/>
      <c r="H393" s="589"/>
      <c r="I393" s="416"/>
      <c r="J393" s="590"/>
      <c r="K393" s="416"/>
      <c r="L393" s="574"/>
      <c r="M393" s="416"/>
      <c r="N393" s="568"/>
    </row>
    <row r="394" spans="1:15" ht="12.95" customHeight="1">
      <c r="A394" s="416"/>
      <c r="B394" s="1079" t="s">
        <v>558</v>
      </c>
      <c r="C394" s="1079"/>
      <c r="D394" s="1079"/>
      <c r="E394" s="598">
        <v>0</v>
      </c>
      <c r="F394" s="599">
        <f>E394*F380</f>
        <v>0</v>
      </c>
      <c r="G394" s="574"/>
      <c r="H394" s="1076"/>
      <c r="I394" s="1076"/>
      <c r="J394" s="1077"/>
      <c r="K394" s="1077"/>
      <c r="L394" s="1078"/>
      <c r="M394" s="1078"/>
      <c r="N394" s="568"/>
    </row>
    <row r="395" spans="1:15" ht="12.95" customHeight="1">
      <c r="A395" s="416"/>
      <c r="B395" s="1079" t="s">
        <v>559</v>
      </c>
      <c r="C395" s="1079"/>
      <c r="D395" s="1079"/>
      <c r="E395" s="288" t="s">
        <v>88</v>
      </c>
      <c r="F395" s="599">
        <v>200000</v>
      </c>
      <c r="G395" s="574"/>
      <c r="H395" s="1076"/>
      <c r="I395" s="1076"/>
      <c r="J395" s="1077"/>
      <c r="K395" s="1077"/>
      <c r="L395" s="1078"/>
      <c r="M395" s="1078"/>
      <c r="N395" s="568"/>
    </row>
    <row r="396" spans="1:15" ht="12.95" customHeight="1">
      <c r="A396" s="416"/>
      <c r="B396" s="1079" t="s">
        <v>560</v>
      </c>
      <c r="C396" s="1079"/>
      <c r="D396" s="1079"/>
      <c r="E396" s="288" t="s">
        <v>88</v>
      </c>
      <c r="F396" s="599">
        <v>180000</v>
      </c>
      <c r="G396" s="574"/>
      <c r="H396" s="1076"/>
      <c r="I396" s="1076"/>
      <c r="J396" s="1077"/>
      <c r="K396" s="1077"/>
      <c r="L396" s="1078"/>
      <c r="M396" s="1078"/>
      <c r="N396" s="568"/>
    </row>
    <row r="397" spans="1:15">
      <c r="A397" s="416"/>
      <c r="B397" s="1064" t="s">
        <v>561</v>
      </c>
      <c r="C397" s="1064"/>
      <c r="D397" s="1064"/>
      <c r="E397" s="598">
        <v>0.03</v>
      </c>
      <c r="F397" s="599">
        <f>E397*F380</f>
        <v>2723830.3746686638</v>
      </c>
      <c r="G397" s="574"/>
      <c r="H397" s="1083">
        <v>1312348.82</v>
      </c>
      <c r="I397" s="1083"/>
      <c r="J397" s="1083">
        <v>209640.99</v>
      </c>
      <c r="K397" s="1083"/>
      <c r="L397" s="1084">
        <f>H397+J397</f>
        <v>1521989.81</v>
      </c>
      <c r="M397" s="1084"/>
      <c r="N397" s="1084"/>
      <c r="O397" s="1084"/>
    </row>
    <row r="398" spans="1:15">
      <c r="A398" s="416"/>
      <c r="B398" s="1064" t="s">
        <v>562</v>
      </c>
      <c r="C398" s="1064"/>
      <c r="D398" s="1064"/>
      <c r="E398" s="598">
        <v>0</v>
      </c>
      <c r="F398" s="599">
        <f>E398*F380</f>
        <v>0</v>
      </c>
      <c r="G398" s="574"/>
      <c r="H398" s="1076"/>
      <c r="I398" s="1076"/>
      <c r="J398" s="1077"/>
      <c r="K398" s="1077"/>
      <c r="L398" s="1078"/>
      <c r="M398" s="1078"/>
      <c r="N398" s="601"/>
      <c r="O398" s="169"/>
    </row>
    <row r="399" spans="1:15">
      <c r="A399" s="416"/>
      <c r="B399" s="1075" t="s">
        <v>44</v>
      </c>
      <c r="C399" s="1075"/>
      <c r="D399" s="1075"/>
      <c r="E399" s="588"/>
      <c r="F399" s="602">
        <f>SUM(F394:F398)</f>
        <v>3103830.3746686638</v>
      </c>
      <c r="G399" s="602"/>
      <c r="H399" s="1077">
        <f>SUM(H397:H398)</f>
        <v>1312348.82</v>
      </c>
      <c r="I399" s="1077"/>
      <c r="J399" s="1077">
        <f>J397</f>
        <v>209640.99</v>
      </c>
      <c r="K399" s="1077"/>
      <c r="L399" s="1078">
        <f>SUM(L397:L398)</f>
        <v>1521989.81</v>
      </c>
      <c r="M399" s="1078"/>
      <c r="N399" s="585"/>
    </row>
    <row r="400" spans="1:15">
      <c r="A400" s="416"/>
      <c r="B400" s="591"/>
      <c r="C400" s="416"/>
      <c r="D400" s="597"/>
      <c r="E400" s="588"/>
      <c r="F400" s="574"/>
      <c r="G400" s="574"/>
      <c r="H400" s="589"/>
      <c r="I400" s="416"/>
      <c r="J400" s="590"/>
      <c r="K400" s="416"/>
      <c r="L400" s="574"/>
      <c r="M400" s="416"/>
      <c r="N400" s="610"/>
      <c r="O400" s="611"/>
    </row>
    <row r="401" spans="1:15">
      <c r="A401" s="416"/>
      <c r="B401" s="1064" t="s">
        <v>563</v>
      </c>
      <c r="C401" s="1064"/>
      <c r="D401" s="1064"/>
      <c r="E401" s="568"/>
      <c r="F401" s="444">
        <f>F399+F392-0.01</f>
        <v>113328166.19292726</v>
      </c>
      <c r="G401" s="595"/>
      <c r="H401" s="1083">
        <f>H392+H399</f>
        <v>87867662.353885606</v>
      </c>
      <c r="I401" s="1083"/>
      <c r="J401" s="1083">
        <f>J399+J392</f>
        <v>1252847.5182999999</v>
      </c>
      <c r="K401" s="1083"/>
      <c r="L401" s="1083">
        <f>L392+L399</f>
        <v>89120509.872185618</v>
      </c>
      <c r="M401" s="1083"/>
      <c r="N401" s="612"/>
    </row>
    <row r="402" spans="1:15">
      <c r="A402" s="416"/>
      <c r="B402" s="591"/>
      <c r="C402" s="5"/>
      <c r="D402" s="605"/>
      <c r="E402" s="568"/>
      <c r="F402" s="595"/>
      <c r="G402" s="595"/>
      <c r="H402" s="595"/>
      <c r="I402" s="593"/>
      <c r="J402" s="1087"/>
      <c r="K402" s="1087"/>
      <c r="L402" s="605"/>
      <c r="M402" s="595"/>
      <c r="N402" s="416"/>
    </row>
    <row r="403" spans="1:15">
      <c r="A403" s="416"/>
      <c r="B403" s="564"/>
      <c r="C403" s="606" t="s">
        <v>107</v>
      </c>
      <c r="D403" s="564"/>
      <c r="E403" s="564"/>
      <c r="F403" s="564"/>
      <c r="G403" s="564"/>
      <c r="H403" s="564"/>
      <c r="I403" s="564"/>
      <c r="J403" s="564"/>
      <c r="K403" s="416"/>
      <c r="L403" s="564"/>
      <c r="M403" s="564"/>
      <c r="N403" s="607"/>
    </row>
    <row r="404" spans="1:15">
      <c r="A404" s="416"/>
      <c r="B404" s="1064" t="s">
        <v>108</v>
      </c>
      <c r="C404" s="1064"/>
      <c r="D404" s="1064"/>
      <c r="E404" s="584">
        <v>0.2</v>
      </c>
      <c r="F404" s="568"/>
      <c r="G404" s="568"/>
      <c r="H404" s="1066">
        <f>H392*E404</f>
        <v>17311062.706777122</v>
      </c>
      <c r="I404" s="1066"/>
      <c r="J404" s="1066">
        <f>J392*E404</f>
        <v>208641.30565999998</v>
      </c>
      <c r="K404" s="1066"/>
      <c r="L404" s="1066">
        <f>H404+J404</f>
        <v>17519704.01243712</v>
      </c>
      <c r="M404" s="1066"/>
      <c r="N404" s="416"/>
    </row>
    <row r="405" spans="1:15">
      <c r="A405" s="416"/>
      <c r="B405" s="1075" t="s">
        <v>44</v>
      </c>
      <c r="C405" s="1075"/>
      <c r="D405" s="1075"/>
      <c r="E405" s="568"/>
      <c r="F405" s="568"/>
      <c r="G405" s="568"/>
      <c r="H405" s="1088">
        <f>SUM(H404:H404)</f>
        <v>17311062.706777122</v>
      </c>
      <c r="I405" s="1088"/>
      <c r="J405" s="1088">
        <f>SUM(J404:J404)</f>
        <v>208641.30565999998</v>
      </c>
      <c r="K405" s="1088"/>
      <c r="L405" s="1089">
        <f>H405+J405</f>
        <v>17519704.01243712</v>
      </c>
      <c r="M405" s="1089"/>
      <c r="N405" s="613"/>
    </row>
    <row r="406" spans="1:15">
      <c r="A406" s="416"/>
      <c r="B406" s="1064" t="s">
        <v>109</v>
      </c>
      <c r="C406" s="1064"/>
      <c r="D406" s="1064"/>
      <c r="E406" s="568"/>
      <c r="F406" s="568"/>
      <c r="G406" s="568"/>
      <c r="H406" s="1085">
        <f>+H392-H405+H399</f>
        <v>70556599.64710848</v>
      </c>
      <c r="I406" s="1085"/>
      <c r="J406" s="1086">
        <f>J392-J405+J399</f>
        <v>1044206.2126399999</v>
      </c>
      <c r="K406" s="1086"/>
      <c r="L406" s="1083">
        <f>L392+L399-L405</f>
        <v>71600805.859748498</v>
      </c>
      <c r="M406" s="1083"/>
      <c r="N406" s="416"/>
    </row>
    <row r="407" spans="1:15">
      <c r="A407" s="416"/>
      <c r="B407" s="564"/>
      <c r="C407" s="5"/>
      <c r="D407" s="568"/>
      <c r="E407" s="568"/>
      <c r="F407" s="568"/>
      <c r="G407" s="568"/>
      <c r="H407" s="568"/>
      <c r="I407" s="593"/>
      <c r="J407" s="564"/>
      <c r="K407" s="585"/>
      <c r="L407" s="568"/>
      <c r="M407" s="568"/>
      <c r="N407" s="416"/>
    </row>
    <row r="408" spans="1:15">
      <c r="A408" s="416"/>
      <c r="B408" s="151"/>
      <c r="C408" s="1065" t="s">
        <v>110</v>
      </c>
      <c r="D408" s="1065"/>
      <c r="E408" s="151"/>
      <c r="F408" s="151"/>
      <c r="G408" s="1065" t="s">
        <v>111</v>
      </c>
      <c r="H408" s="1065"/>
      <c r="I408" s="1065"/>
      <c r="J408" s="1065" t="s">
        <v>112</v>
      </c>
      <c r="K408" s="1065"/>
      <c r="L408" s="1065"/>
      <c r="M408" s="151"/>
      <c r="N408" s="416"/>
    </row>
    <row r="409" spans="1:15" ht="13.5" customHeight="1">
      <c r="A409" s="416"/>
      <c r="B409" s="151"/>
      <c r="C409" s="151"/>
      <c r="D409" s="151"/>
      <c r="E409" s="151"/>
      <c r="F409" s="151"/>
      <c r="G409" s="151"/>
      <c r="H409" s="151"/>
      <c r="I409" s="151"/>
      <c r="J409" s="151"/>
      <c r="K409" s="151"/>
      <c r="L409" s="151"/>
      <c r="M409" s="151"/>
      <c r="N409" s="608"/>
    </row>
    <row r="410" spans="1:15" ht="36.950000000000003" customHeight="1">
      <c r="A410" s="416"/>
      <c r="B410" s="151"/>
      <c r="C410" s="151"/>
      <c r="D410" s="151"/>
      <c r="E410" s="151"/>
      <c r="F410" s="151"/>
      <c r="G410" s="151"/>
      <c r="H410" s="151"/>
      <c r="I410" s="151"/>
      <c r="J410" s="151"/>
      <c r="K410" s="151"/>
      <c r="L410" s="151"/>
      <c r="M410" s="151"/>
      <c r="N410" s="416"/>
      <c r="O410" s="424"/>
    </row>
    <row r="411" spans="1:15">
      <c r="B411" s="1"/>
      <c r="C411" s="8" t="s">
        <v>565</v>
      </c>
      <c r="D411" s="8"/>
      <c r="E411" s="8"/>
      <c r="F411" s="8"/>
      <c r="I411" s="100" t="s">
        <v>11</v>
      </c>
      <c r="M411" s="8" t="s">
        <v>112</v>
      </c>
      <c r="N411" s="416"/>
    </row>
    <row r="412" spans="1:15">
      <c r="B412" s="1"/>
      <c r="C412" s="1"/>
      <c r="D412" s="1004"/>
      <c r="E412" s="1004"/>
      <c r="F412" s="1004"/>
      <c r="G412" s="1004"/>
      <c r="H412" s="1004"/>
      <c r="I412" s="1004"/>
      <c r="J412" s="1004"/>
      <c r="K412" s="1004"/>
      <c r="L412" s="1004"/>
      <c r="M412" s="1004"/>
    </row>
    <row r="413" spans="1:15">
      <c r="B413" s="1"/>
      <c r="C413" s="1004" t="s">
        <v>566</v>
      </c>
      <c r="D413" s="1004"/>
      <c r="E413" s="1004"/>
      <c r="F413" s="1"/>
      <c r="G413" s="1038" t="s">
        <v>564</v>
      </c>
      <c r="H413" s="1038"/>
      <c r="I413" s="1038"/>
      <c r="J413" s="1038"/>
      <c r="K413" s="1038"/>
      <c r="L413" s="289" t="s">
        <v>567</v>
      </c>
      <c r="M413" s="289"/>
    </row>
    <row r="414" spans="1:15">
      <c r="B414" s="1"/>
      <c r="C414" s="1"/>
      <c r="D414" s="1" t="s">
        <v>118</v>
      </c>
      <c r="E414" s="1"/>
      <c r="F414" s="1"/>
      <c r="G414" s="1024" t="s">
        <v>344</v>
      </c>
      <c r="H414" s="1024"/>
      <c r="I414" s="1024"/>
      <c r="J414" s="1024"/>
      <c r="K414" s="1024"/>
      <c r="L414" s="1004" t="s">
        <v>568</v>
      </c>
      <c r="M414" s="1004"/>
    </row>
  </sheetData>
  <mergeCells count="108">
    <mergeCell ref="D412:F412"/>
    <mergeCell ref="G412:J412"/>
    <mergeCell ref="K412:M412"/>
    <mergeCell ref="C413:E413"/>
    <mergeCell ref="G413:K413"/>
    <mergeCell ref="G414:K414"/>
    <mergeCell ref="L414:M414"/>
    <mergeCell ref="B406:D406"/>
    <mergeCell ref="H406:I406"/>
    <mergeCell ref="J406:K406"/>
    <mergeCell ref="L406:M406"/>
    <mergeCell ref="C408:D408"/>
    <mergeCell ref="G408:I408"/>
    <mergeCell ref="J408:L408"/>
    <mergeCell ref="J402:K402"/>
    <mergeCell ref="B404:D404"/>
    <mergeCell ref="H404:I404"/>
    <mergeCell ref="J404:K404"/>
    <mergeCell ref="L404:M404"/>
    <mergeCell ref="B405:D405"/>
    <mergeCell ref="H405:I405"/>
    <mergeCell ref="J405:K405"/>
    <mergeCell ref="L405:M405"/>
    <mergeCell ref="B399:D399"/>
    <mergeCell ref="H399:I399"/>
    <mergeCell ref="J399:K399"/>
    <mergeCell ref="L399:M399"/>
    <mergeCell ref="B401:D401"/>
    <mergeCell ref="H401:I401"/>
    <mergeCell ref="J401:K401"/>
    <mergeCell ref="L401:M401"/>
    <mergeCell ref="B397:D397"/>
    <mergeCell ref="H397:I397"/>
    <mergeCell ref="J397:K397"/>
    <mergeCell ref="L397:M397"/>
    <mergeCell ref="N397:O397"/>
    <mergeCell ref="B398:D398"/>
    <mergeCell ref="H398:I398"/>
    <mergeCell ref="J398:K398"/>
    <mergeCell ref="L398:M398"/>
    <mergeCell ref="B395:D395"/>
    <mergeCell ref="H395:I395"/>
    <mergeCell ref="J395:K395"/>
    <mergeCell ref="L395:M395"/>
    <mergeCell ref="B396:D396"/>
    <mergeCell ref="H396:I396"/>
    <mergeCell ref="J396:K396"/>
    <mergeCell ref="L396:M396"/>
    <mergeCell ref="B392:D392"/>
    <mergeCell ref="H392:I392"/>
    <mergeCell ref="J392:K392"/>
    <mergeCell ref="L392:M392"/>
    <mergeCell ref="B394:D394"/>
    <mergeCell ref="H394:I394"/>
    <mergeCell ref="J394:K394"/>
    <mergeCell ref="L394:M394"/>
    <mergeCell ref="B389:D389"/>
    <mergeCell ref="H389:I389"/>
    <mergeCell ref="J389:K389"/>
    <mergeCell ref="L389:M389"/>
    <mergeCell ref="B390:D390"/>
    <mergeCell ref="H390:I390"/>
    <mergeCell ref="J390:K390"/>
    <mergeCell ref="L390:M390"/>
    <mergeCell ref="B387:D387"/>
    <mergeCell ref="H387:I387"/>
    <mergeCell ref="J387:K387"/>
    <mergeCell ref="L387:M387"/>
    <mergeCell ref="B388:D388"/>
    <mergeCell ref="H388:I388"/>
    <mergeCell ref="J388:K388"/>
    <mergeCell ref="L388:M388"/>
    <mergeCell ref="B385:D385"/>
    <mergeCell ref="H385:I385"/>
    <mergeCell ref="J385:K385"/>
    <mergeCell ref="L385:M385"/>
    <mergeCell ref="B386:D386"/>
    <mergeCell ref="H386:I386"/>
    <mergeCell ref="J386:K386"/>
    <mergeCell ref="L386:M386"/>
    <mergeCell ref="B382:D382"/>
    <mergeCell ref="L382:M383"/>
    <mergeCell ref="B383:D383"/>
    <mergeCell ref="H383:I383"/>
    <mergeCell ref="J383:K383"/>
    <mergeCell ref="B384:D384"/>
    <mergeCell ref="H384:I384"/>
    <mergeCell ref="J384:K384"/>
    <mergeCell ref="L384:M384"/>
    <mergeCell ref="B380:E380"/>
    <mergeCell ref="H380:I380"/>
    <mergeCell ref="J380:K380"/>
    <mergeCell ref="L380:M380"/>
    <mergeCell ref="B371:M371"/>
    <mergeCell ref="D374:G374"/>
    <mergeCell ref="K374:L374"/>
    <mergeCell ref="B376:C376"/>
    <mergeCell ref="D376:E376"/>
    <mergeCell ref="D377:E377"/>
    <mergeCell ref="A1:M1"/>
    <mergeCell ref="A2:M2"/>
    <mergeCell ref="K4:L4"/>
    <mergeCell ref="A8:F8"/>
    <mergeCell ref="G8:J8"/>
    <mergeCell ref="K8:M8"/>
    <mergeCell ref="H379:I379"/>
    <mergeCell ref="J379:K379"/>
    <mergeCell ref="L379:M379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D94B-B06F-4C3A-B9F6-6316EAA43DDB}">
  <dimension ref="A2:O93"/>
  <sheetViews>
    <sheetView topLeftCell="B1" workbookViewId="0">
      <selection activeCell="H97" sqref="H97"/>
    </sheetView>
  </sheetViews>
  <sheetFormatPr baseColWidth="10" defaultRowHeight="15"/>
  <cols>
    <col min="1" max="1" width="11.5703125" bestFit="1" customWidth="1"/>
    <col min="2" max="2" width="45.42578125" bestFit="1" customWidth="1"/>
    <col min="4" max="5" width="11.5703125" bestFit="1" customWidth="1"/>
    <col min="6" max="6" width="16" bestFit="1" customWidth="1"/>
    <col min="7" max="7" width="11.5703125" bestFit="1" customWidth="1"/>
    <col min="8" max="8" width="11.85546875" bestFit="1" customWidth="1"/>
    <col min="9" max="10" width="11.5703125" bestFit="1" customWidth="1"/>
    <col min="11" max="11" width="13.5703125" bestFit="1" customWidth="1"/>
    <col min="12" max="12" width="13.28515625" bestFit="1" customWidth="1"/>
    <col min="13" max="13" width="15.140625" bestFit="1" customWidth="1"/>
    <col min="14" max="14" width="17.140625" bestFit="1" customWidth="1"/>
  </cols>
  <sheetData>
    <row r="2" spans="1:14">
      <c r="A2" s="1004" t="s">
        <v>0</v>
      </c>
      <c r="B2" s="1004"/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</row>
    <row r="3" spans="1:14">
      <c r="A3" s="1005" t="s">
        <v>1</v>
      </c>
      <c r="B3" s="1005"/>
      <c r="C3" s="1005"/>
      <c r="D3" s="1005"/>
      <c r="E3" s="1005"/>
      <c r="F3" s="1005"/>
      <c r="G3" s="1005"/>
      <c r="H3" s="1005"/>
      <c r="I3" s="1005"/>
      <c r="J3" s="1005"/>
      <c r="K3" s="1005"/>
      <c r="L3" s="1005"/>
      <c r="M3" s="1005"/>
    </row>
    <row r="4" spans="1:14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154" t="s">
        <v>120</v>
      </c>
    </row>
    <row r="5" spans="1:14" ht="21" customHeight="1">
      <c r="A5" s="3"/>
      <c r="B5" s="4" t="s">
        <v>2</v>
      </c>
      <c r="C5" s="1012" t="s">
        <v>755</v>
      </c>
      <c r="D5" s="1012"/>
      <c r="E5" s="1012"/>
      <c r="F5" s="1012"/>
      <c r="G5" s="1012"/>
      <c r="H5" s="1012"/>
      <c r="I5" s="1012"/>
      <c r="J5" s="3"/>
      <c r="K5" s="3"/>
      <c r="L5" s="4" t="s">
        <v>4</v>
      </c>
      <c r="M5" s="6">
        <v>24315191.309999999</v>
      </c>
    </row>
    <row r="6" spans="1:14">
      <c r="A6" s="3"/>
      <c r="B6" s="4" t="s">
        <v>5</v>
      </c>
      <c r="C6" s="7">
        <v>3</v>
      </c>
      <c r="D6" s="3"/>
      <c r="E6" s="8"/>
      <c r="F6" s="8"/>
      <c r="G6" s="8"/>
      <c r="H6" s="3"/>
      <c r="I6" s="3"/>
      <c r="J6" s="3"/>
      <c r="K6" s="3"/>
      <c r="L6" s="4" t="s">
        <v>6</v>
      </c>
      <c r="M6" s="6">
        <v>4863038.46</v>
      </c>
    </row>
    <row r="7" spans="1:14">
      <c r="A7" s="3"/>
      <c r="B7" s="4" t="s">
        <v>7</v>
      </c>
      <c r="C7" s="8" t="s">
        <v>756</v>
      </c>
      <c r="D7" s="8"/>
      <c r="E7" s="8"/>
      <c r="F7" s="8" t="s">
        <v>124</v>
      </c>
      <c r="G7" s="11"/>
      <c r="H7" s="3"/>
      <c r="I7" s="3"/>
      <c r="J7" s="3"/>
      <c r="K7" s="3"/>
      <c r="L7" s="4" t="s">
        <v>9</v>
      </c>
      <c r="M7" s="13" t="s">
        <v>757</v>
      </c>
    </row>
    <row r="8" spans="1:14">
      <c r="A8" s="3"/>
      <c r="B8" s="4" t="s">
        <v>11</v>
      </c>
      <c r="C8" s="8" t="s">
        <v>758</v>
      </c>
      <c r="D8" s="8"/>
      <c r="E8" s="8"/>
      <c r="F8" s="8"/>
      <c r="H8" s="3"/>
      <c r="I8" s="3"/>
      <c r="J8" s="3"/>
      <c r="K8" s="3"/>
      <c r="L8" s="3"/>
      <c r="M8" s="3"/>
    </row>
    <row r="9" spans="1:14">
      <c r="A9" s="1108" t="s">
        <v>13</v>
      </c>
      <c r="B9" s="1109"/>
      <c r="C9" s="1109"/>
      <c r="D9" s="1109"/>
      <c r="E9" s="1109"/>
      <c r="F9" s="1110"/>
      <c r="G9" s="1111" t="s">
        <v>14</v>
      </c>
      <c r="H9" s="1112"/>
      <c r="I9" s="1112"/>
      <c r="J9" s="1113"/>
      <c r="K9" s="1114" t="s">
        <v>15</v>
      </c>
      <c r="L9" s="1115"/>
      <c r="M9" s="1116"/>
    </row>
    <row r="10" spans="1:14" ht="15" customHeight="1">
      <c r="A10" s="14" t="s">
        <v>16</v>
      </c>
      <c r="B10" s="15" t="s">
        <v>17</v>
      </c>
      <c r="C10" s="15" t="s">
        <v>18</v>
      </c>
      <c r="D10" s="15" t="s">
        <v>19</v>
      </c>
      <c r="E10" s="16" t="s">
        <v>20</v>
      </c>
      <c r="F10" s="16" t="s">
        <v>21</v>
      </c>
      <c r="G10" s="17" t="s">
        <v>22</v>
      </c>
      <c r="H10" s="17" t="s">
        <v>23</v>
      </c>
      <c r="I10" s="18" t="s">
        <v>24</v>
      </c>
      <c r="J10" s="19" t="s">
        <v>25</v>
      </c>
      <c r="K10" s="20" t="s">
        <v>22</v>
      </c>
      <c r="L10" s="21" t="s">
        <v>23</v>
      </c>
      <c r="M10" s="21" t="s">
        <v>24</v>
      </c>
    </row>
    <row r="11" spans="1:14">
      <c r="A11" s="933">
        <v>1</v>
      </c>
      <c r="B11" s="934" t="s">
        <v>759</v>
      </c>
      <c r="C11" s="935"/>
      <c r="D11" s="936"/>
      <c r="E11" s="937"/>
      <c r="F11" s="937"/>
      <c r="G11" s="938"/>
      <c r="H11" s="939"/>
      <c r="I11" s="939"/>
      <c r="J11" s="939"/>
      <c r="K11" s="940"/>
      <c r="L11" s="940"/>
      <c r="M11" s="940"/>
    </row>
    <row r="12" spans="1:14">
      <c r="A12" s="941">
        <f>A11+0.01</f>
        <v>1.01</v>
      </c>
      <c r="B12" s="942" t="s">
        <v>760</v>
      </c>
      <c r="C12" s="943" t="s">
        <v>30</v>
      </c>
      <c r="D12" s="937">
        <v>1635</v>
      </c>
      <c r="E12" s="944">
        <v>51.943460000000002</v>
      </c>
      <c r="F12" s="944">
        <f>D12*E12</f>
        <v>84927.557100000005</v>
      </c>
      <c r="G12" s="939">
        <v>1635</v>
      </c>
      <c r="H12" s="939"/>
      <c r="I12" s="938">
        <f>G12+H12</f>
        <v>1635</v>
      </c>
      <c r="J12" s="945">
        <f>I12/D12*100</f>
        <v>100</v>
      </c>
      <c r="K12" s="946">
        <f>G12*E12</f>
        <v>84927.557100000005</v>
      </c>
      <c r="L12" s="947"/>
      <c r="M12" s="946">
        <f>K12+L12</f>
        <v>84927.557100000005</v>
      </c>
      <c r="N12" s="115"/>
    </row>
    <row r="13" spans="1:14">
      <c r="A13" s="933">
        <f t="shared" ref="A13" si="0">A12+0.01</f>
        <v>1.02</v>
      </c>
      <c r="B13" s="948" t="s">
        <v>761</v>
      </c>
      <c r="C13" s="943"/>
      <c r="D13" s="937"/>
      <c r="E13" s="949"/>
      <c r="F13" s="950">
        <f>F12</f>
        <v>84927.557100000005</v>
      </c>
      <c r="G13" s="951"/>
      <c r="H13" s="951"/>
      <c r="I13" s="951"/>
      <c r="J13" s="951"/>
      <c r="K13" s="952">
        <f>SUM(K12)</f>
        <v>84927.557100000005</v>
      </c>
      <c r="L13" s="952"/>
      <c r="M13" s="952">
        <f>K13+L13</f>
        <v>84927.557100000005</v>
      </c>
      <c r="N13" s="115"/>
    </row>
    <row r="14" spans="1:14">
      <c r="A14" s="953">
        <v>2</v>
      </c>
      <c r="B14" s="954" t="s">
        <v>737</v>
      </c>
      <c r="C14" s="943"/>
      <c r="D14" s="936"/>
      <c r="E14" s="955"/>
      <c r="F14" s="956"/>
      <c r="G14" s="939"/>
      <c r="H14" s="939"/>
      <c r="I14" s="939"/>
      <c r="J14" s="939"/>
      <c r="K14" s="946"/>
      <c r="L14" s="946"/>
      <c r="M14" s="946"/>
      <c r="N14" s="115"/>
    </row>
    <row r="15" spans="1:14">
      <c r="A15" s="941">
        <f>A14+0.01</f>
        <v>2.0099999999999998</v>
      </c>
      <c r="B15" s="957" t="s">
        <v>762</v>
      </c>
      <c r="C15" s="943" t="s">
        <v>30</v>
      </c>
      <c r="D15" s="958">
        <v>1515</v>
      </c>
      <c r="E15" s="959">
        <v>7454.39</v>
      </c>
      <c r="F15" s="958">
        <f t="shared" ref="F15:F24" si="1">D15*E15</f>
        <v>11293400.85</v>
      </c>
      <c r="G15" s="939">
        <v>1424.8760499999999</v>
      </c>
      <c r="H15" s="939">
        <f>D15-G15</f>
        <v>90.12395000000015</v>
      </c>
      <c r="I15" s="938">
        <f>G15+H15</f>
        <v>1515</v>
      </c>
      <c r="J15" s="945">
        <f>I15/D15*100</f>
        <v>100</v>
      </c>
      <c r="K15" s="946">
        <f>G15*E15</f>
        <v>10621581.778359499</v>
      </c>
      <c r="L15" s="947">
        <f>H15*E15</f>
        <v>671819.07164050115</v>
      </c>
      <c r="M15" s="946">
        <f>K15+L15</f>
        <v>11293400.85</v>
      </c>
      <c r="N15" s="115"/>
    </row>
    <row r="16" spans="1:14">
      <c r="A16" s="941">
        <f t="shared" ref="A16:A25" si="2">A15+0.01</f>
        <v>2.0199999999999996</v>
      </c>
      <c r="B16" s="957" t="s">
        <v>763</v>
      </c>
      <c r="C16" s="943" t="s">
        <v>30</v>
      </c>
      <c r="D16" s="958">
        <v>120</v>
      </c>
      <c r="E16" s="958">
        <v>12684.21055</v>
      </c>
      <c r="F16" s="958">
        <f t="shared" si="1"/>
        <v>1522105.2660000001</v>
      </c>
      <c r="G16" s="939">
        <v>100</v>
      </c>
      <c r="H16" s="939">
        <f t="shared" ref="H16:H24" si="3">D16-G16</f>
        <v>20</v>
      </c>
      <c r="I16" s="938">
        <f t="shared" ref="I16:I24" si="4">G16+H16</f>
        <v>120</v>
      </c>
      <c r="J16" s="945">
        <f t="shared" ref="J16:J24" si="5">I16/D16*100</f>
        <v>100</v>
      </c>
      <c r="K16" s="946">
        <f t="shared" ref="K16:K24" si="6">G16*E16</f>
        <v>1268421.0549999999</v>
      </c>
      <c r="L16" s="947">
        <f>H16*E16</f>
        <v>253684.21100000001</v>
      </c>
      <c r="M16" s="946">
        <f t="shared" ref="M16:M24" si="7">K16+L16</f>
        <v>1522105.2659999998</v>
      </c>
      <c r="N16" s="115"/>
    </row>
    <row r="17" spans="1:14">
      <c r="A17" s="941">
        <f t="shared" si="2"/>
        <v>2.0299999999999994</v>
      </c>
      <c r="B17" s="957" t="s">
        <v>764</v>
      </c>
      <c r="C17" s="943" t="s">
        <v>30</v>
      </c>
      <c r="D17" s="958">
        <v>1515</v>
      </c>
      <c r="E17" s="958">
        <v>220.549014</v>
      </c>
      <c r="F17" s="958">
        <f t="shared" si="1"/>
        <v>334131.75621000002</v>
      </c>
      <c r="G17" s="939">
        <v>1400</v>
      </c>
      <c r="H17" s="939">
        <f t="shared" si="3"/>
        <v>115</v>
      </c>
      <c r="I17" s="938">
        <f t="shared" si="4"/>
        <v>1515</v>
      </c>
      <c r="J17" s="945">
        <f t="shared" si="5"/>
        <v>100</v>
      </c>
      <c r="K17" s="946">
        <f t="shared" si="6"/>
        <v>308768.61959999998</v>
      </c>
      <c r="L17" s="947">
        <f>H17*E17</f>
        <v>25363.136610000001</v>
      </c>
      <c r="M17" s="946">
        <f t="shared" si="7"/>
        <v>334131.75620999996</v>
      </c>
      <c r="N17" s="115"/>
    </row>
    <row r="18" spans="1:14">
      <c r="A18" s="941">
        <f t="shared" si="2"/>
        <v>2.0399999999999991</v>
      </c>
      <c r="B18" s="957" t="s">
        <v>765</v>
      </c>
      <c r="C18" s="943" t="s">
        <v>30</v>
      </c>
      <c r="D18" s="958">
        <v>120</v>
      </c>
      <c r="E18" s="958">
        <v>315.84507000000002</v>
      </c>
      <c r="F18" s="958">
        <f t="shared" si="1"/>
        <v>37901.4084</v>
      </c>
      <c r="G18" s="939">
        <v>100</v>
      </c>
      <c r="H18" s="939">
        <f t="shared" si="3"/>
        <v>20</v>
      </c>
      <c r="I18" s="938">
        <f t="shared" si="4"/>
        <v>120</v>
      </c>
      <c r="J18" s="945">
        <f t="shared" si="5"/>
        <v>100</v>
      </c>
      <c r="K18" s="946">
        <f t="shared" si="6"/>
        <v>31584.507000000001</v>
      </c>
      <c r="L18" s="947">
        <f t="shared" ref="L18:L21" si="8">H18*E18</f>
        <v>6316.9014000000006</v>
      </c>
      <c r="M18" s="946">
        <f t="shared" si="7"/>
        <v>37901.4084</v>
      </c>
      <c r="N18" s="115"/>
    </row>
    <row r="19" spans="1:14">
      <c r="A19" s="941">
        <f t="shared" si="2"/>
        <v>2.0499999999999989</v>
      </c>
      <c r="B19" s="957" t="s">
        <v>766</v>
      </c>
      <c r="C19" s="943" t="s">
        <v>50</v>
      </c>
      <c r="D19" s="958">
        <v>175</v>
      </c>
      <c r="E19" s="958">
        <v>3200</v>
      </c>
      <c r="F19" s="958">
        <f t="shared" si="1"/>
        <v>560000</v>
      </c>
      <c r="G19" s="939">
        <v>120</v>
      </c>
      <c r="H19" s="939">
        <f t="shared" si="3"/>
        <v>55</v>
      </c>
      <c r="I19" s="938">
        <f t="shared" si="4"/>
        <v>175</v>
      </c>
      <c r="J19" s="945">
        <f t="shared" si="5"/>
        <v>100</v>
      </c>
      <c r="K19" s="946">
        <f t="shared" si="6"/>
        <v>384000</v>
      </c>
      <c r="L19" s="947">
        <f t="shared" si="8"/>
        <v>176000</v>
      </c>
      <c r="M19" s="946">
        <f t="shared" si="7"/>
        <v>560000</v>
      </c>
      <c r="N19" s="115"/>
    </row>
    <row r="20" spans="1:14">
      <c r="A20" s="941">
        <f t="shared" si="2"/>
        <v>2.0599999999999987</v>
      </c>
      <c r="B20" s="957" t="s">
        <v>767</v>
      </c>
      <c r="C20" s="943" t="s">
        <v>88</v>
      </c>
      <c r="D20" s="958">
        <v>1</v>
      </c>
      <c r="E20" s="958">
        <v>50987.13</v>
      </c>
      <c r="F20" s="958">
        <f t="shared" si="1"/>
        <v>50987.13</v>
      </c>
      <c r="G20" s="939">
        <v>0.5</v>
      </c>
      <c r="H20" s="939">
        <f t="shared" si="3"/>
        <v>0.5</v>
      </c>
      <c r="I20" s="938">
        <f t="shared" si="4"/>
        <v>1</v>
      </c>
      <c r="J20" s="945">
        <f t="shared" si="5"/>
        <v>100</v>
      </c>
      <c r="K20" s="946">
        <f t="shared" si="6"/>
        <v>25493.564999999999</v>
      </c>
      <c r="L20" s="947">
        <f t="shared" si="8"/>
        <v>25493.564999999999</v>
      </c>
      <c r="M20" s="946">
        <f t="shared" si="7"/>
        <v>50987.13</v>
      </c>
      <c r="N20" s="115"/>
    </row>
    <row r="21" spans="1:14">
      <c r="A21" s="941">
        <f t="shared" si="2"/>
        <v>2.0699999999999985</v>
      </c>
      <c r="B21" s="957" t="s">
        <v>768</v>
      </c>
      <c r="C21" s="943" t="s">
        <v>50</v>
      </c>
      <c r="D21" s="958">
        <v>4</v>
      </c>
      <c r="E21" s="958">
        <v>77234.964999999997</v>
      </c>
      <c r="F21" s="958">
        <f t="shared" si="1"/>
        <v>308939.86</v>
      </c>
      <c r="G21" s="939">
        <v>2</v>
      </c>
      <c r="H21" s="939">
        <f t="shared" si="3"/>
        <v>2</v>
      </c>
      <c r="I21" s="938">
        <f t="shared" si="4"/>
        <v>4</v>
      </c>
      <c r="J21" s="945">
        <f t="shared" si="5"/>
        <v>100</v>
      </c>
      <c r="K21" s="946">
        <f t="shared" si="6"/>
        <v>154469.93</v>
      </c>
      <c r="L21" s="947">
        <f t="shared" si="8"/>
        <v>154469.93</v>
      </c>
      <c r="M21" s="946">
        <f t="shared" si="7"/>
        <v>308939.86</v>
      </c>
      <c r="N21" s="115"/>
    </row>
    <row r="22" spans="1:14">
      <c r="A22" s="941">
        <f t="shared" si="2"/>
        <v>2.0799999999999983</v>
      </c>
      <c r="B22" s="959" t="s">
        <v>769</v>
      </c>
      <c r="C22" s="943" t="s">
        <v>50</v>
      </c>
      <c r="D22" s="958">
        <v>120</v>
      </c>
      <c r="E22" s="958">
        <v>4554.46</v>
      </c>
      <c r="F22" s="958">
        <f t="shared" si="1"/>
        <v>546535.19999999995</v>
      </c>
      <c r="G22" s="939">
        <v>60</v>
      </c>
      <c r="H22" s="939">
        <f t="shared" si="3"/>
        <v>60</v>
      </c>
      <c r="I22" s="938">
        <f t="shared" si="4"/>
        <v>120</v>
      </c>
      <c r="J22" s="945">
        <f t="shared" si="5"/>
        <v>100</v>
      </c>
      <c r="K22" s="946">
        <f t="shared" si="6"/>
        <v>273267.59999999998</v>
      </c>
      <c r="L22" s="947">
        <f>H22*E22</f>
        <v>273267.59999999998</v>
      </c>
      <c r="M22" s="946">
        <f t="shared" si="7"/>
        <v>546535.19999999995</v>
      </c>
      <c r="N22" s="115"/>
    </row>
    <row r="23" spans="1:14">
      <c r="A23" s="941">
        <f t="shared" si="2"/>
        <v>2.0899999999999981</v>
      </c>
      <c r="B23" s="957" t="s">
        <v>770</v>
      </c>
      <c r="C23" s="943" t="s">
        <v>189</v>
      </c>
      <c r="D23" s="960">
        <v>81.02</v>
      </c>
      <c r="E23" s="958">
        <v>238.84</v>
      </c>
      <c r="F23" s="958">
        <f t="shared" si="1"/>
        <v>19350.816800000001</v>
      </c>
      <c r="G23" s="939">
        <v>81.02</v>
      </c>
      <c r="H23" s="939">
        <f t="shared" si="3"/>
        <v>0</v>
      </c>
      <c r="I23" s="938">
        <f t="shared" si="4"/>
        <v>81.02</v>
      </c>
      <c r="J23" s="945">
        <f t="shared" si="5"/>
        <v>100</v>
      </c>
      <c r="K23" s="946">
        <f t="shared" si="6"/>
        <v>19350.816800000001</v>
      </c>
      <c r="L23" s="947">
        <f>H23*E23</f>
        <v>0</v>
      </c>
      <c r="M23" s="946">
        <f t="shared" si="7"/>
        <v>19350.816800000001</v>
      </c>
      <c r="N23" s="115"/>
    </row>
    <row r="24" spans="1:14">
      <c r="A24" s="941">
        <f t="shared" si="2"/>
        <v>2.0999999999999979</v>
      </c>
      <c r="B24" s="957" t="s">
        <v>771</v>
      </c>
      <c r="C24" s="943" t="s">
        <v>189</v>
      </c>
      <c r="D24" s="960">
        <v>951.42</v>
      </c>
      <c r="E24" s="958">
        <v>238.84</v>
      </c>
      <c r="F24" s="958">
        <f t="shared" si="1"/>
        <v>227237.15279999998</v>
      </c>
      <c r="G24" s="939">
        <v>700</v>
      </c>
      <c r="H24" s="939">
        <f t="shared" si="3"/>
        <v>251.41999999999996</v>
      </c>
      <c r="I24" s="938">
        <f t="shared" si="4"/>
        <v>951.42</v>
      </c>
      <c r="J24" s="945">
        <f t="shared" si="5"/>
        <v>100</v>
      </c>
      <c r="K24" s="946">
        <f t="shared" si="6"/>
        <v>167188</v>
      </c>
      <c r="L24" s="947">
        <f>H24*E24</f>
        <v>60049.152799999989</v>
      </c>
      <c r="M24" s="946">
        <f t="shared" si="7"/>
        <v>227237.15279999998</v>
      </c>
      <c r="N24" s="115"/>
    </row>
    <row r="25" spans="1:14">
      <c r="A25" s="933">
        <f t="shared" si="2"/>
        <v>2.1099999999999977</v>
      </c>
      <c r="B25" s="954" t="s">
        <v>772</v>
      </c>
      <c r="C25" s="961"/>
      <c r="D25" s="958"/>
      <c r="E25" s="955"/>
      <c r="F25" s="962">
        <f>SUM(F15:F24)</f>
        <v>14900589.440209998</v>
      </c>
      <c r="G25" s="951"/>
      <c r="H25" s="951"/>
      <c r="I25" s="951"/>
      <c r="J25" s="951"/>
      <c r="K25" s="952">
        <f>SUM(K15:K24)</f>
        <v>13254125.871759497</v>
      </c>
      <c r="L25" s="952">
        <f>SUM(L15:L24)</f>
        <v>1646463.568450501</v>
      </c>
      <c r="M25" s="952">
        <f>SUM(M15:M24)</f>
        <v>14900589.440209998</v>
      </c>
      <c r="N25" s="115"/>
    </row>
    <row r="26" spans="1:14">
      <c r="A26" s="953">
        <v>3</v>
      </c>
      <c r="B26" s="948" t="s">
        <v>773</v>
      </c>
      <c r="C26" s="961"/>
      <c r="D26" s="937"/>
      <c r="E26" s="949"/>
      <c r="F26" s="947"/>
      <c r="G26" s="939"/>
      <c r="H26" s="939"/>
      <c r="I26" s="939"/>
      <c r="J26" s="939"/>
      <c r="K26" s="946"/>
      <c r="L26" s="946"/>
      <c r="M26" s="946"/>
      <c r="N26" s="115"/>
    </row>
    <row r="27" spans="1:14">
      <c r="A27" s="963">
        <f>A26+0.01</f>
        <v>3.01</v>
      </c>
      <c r="B27" s="942" t="s">
        <v>774</v>
      </c>
      <c r="C27" s="943" t="s">
        <v>50</v>
      </c>
      <c r="D27" s="937">
        <v>2</v>
      </c>
      <c r="E27" s="937">
        <v>46530.901769999997</v>
      </c>
      <c r="F27" s="944">
        <f>D27*E27</f>
        <v>93061.803539999994</v>
      </c>
      <c r="G27" s="939"/>
      <c r="H27" s="939"/>
      <c r="I27" s="939"/>
      <c r="J27" s="939"/>
      <c r="K27" s="946"/>
      <c r="L27" s="946"/>
      <c r="M27" s="946"/>
      <c r="N27" s="115"/>
    </row>
    <row r="28" spans="1:14">
      <c r="A28" s="963">
        <f>A27+0.01</f>
        <v>3.0199999999999996</v>
      </c>
      <c r="B28" s="942" t="s">
        <v>775</v>
      </c>
      <c r="C28" s="943" t="s">
        <v>50</v>
      </c>
      <c r="D28" s="937">
        <v>60</v>
      </c>
      <c r="E28" s="937">
        <v>51908.7</v>
      </c>
      <c r="F28" s="944">
        <f>D28*E28</f>
        <v>3114522</v>
      </c>
      <c r="G28" s="939">
        <v>35</v>
      </c>
      <c r="H28" s="939">
        <v>20</v>
      </c>
      <c r="I28" s="938">
        <f t="shared" ref="I28" si="9">G28+H28</f>
        <v>55</v>
      </c>
      <c r="J28" s="945">
        <f t="shared" ref="J28" si="10">I28/D28*100</f>
        <v>91.666666666666657</v>
      </c>
      <c r="K28" s="946">
        <f t="shared" ref="K28" si="11">G28*E28</f>
        <v>1816804.5</v>
      </c>
      <c r="L28" s="947">
        <f>H28*E28</f>
        <v>1038174</v>
      </c>
      <c r="M28" s="946">
        <f>K28+L28</f>
        <v>2854978.5</v>
      </c>
      <c r="N28" s="115"/>
    </row>
    <row r="29" spans="1:14">
      <c r="A29" s="964">
        <f>A28+0.01</f>
        <v>3.0299999999999994</v>
      </c>
      <c r="B29" s="948" t="s">
        <v>776</v>
      </c>
      <c r="C29" s="943"/>
      <c r="D29" s="965"/>
      <c r="E29" s="949"/>
      <c r="F29" s="966">
        <f>SUM(F27:F28)</f>
        <v>3207583.8035399998</v>
      </c>
      <c r="G29" s="951"/>
      <c r="H29" s="951"/>
      <c r="I29" s="951"/>
      <c r="J29" s="951"/>
      <c r="K29" s="952">
        <f>SUM(K28)</f>
        <v>1816804.5</v>
      </c>
      <c r="L29" s="952">
        <f>SUM(L28)</f>
        <v>1038174</v>
      </c>
      <c r="M29" s="952">
        <f>SUM(M28)</f>
        <v>2854978.5</v>
      </c>
      <c r="N29" s="115"/>
    </row>
    <row r="30" spans="1:14" ht="24.75">
      <c r="A30" s="953">
        <v>4</v>
      </c>
      <c r="B30" s="967" t="s">
        <v>777</v>
      </c>
      <c r="C30" s="968"/>
      <c r="D30" s="969"/>
      <c r="E30" s="949"/>
      <c r="F30" s="947"/>
      <c r="G30" s="939"/>
      <c r="H30" s="939"/>
      <c r="I30" s="939"/>
      <c r="J30" s="939"/>
      <c r="K30" s="946"/>
      <c r="L30" s="946"/>
      <c r="M30" s="946"/>
      <c r="N30" s="115"/>
    </row>
    <row r="31" spans="1:14" ht="36.75">
      <c r="A31" s="963">
        <f>A30+0.01</f>
        <v>4.01</v>
      </c>
      <c r="B31" s="970" t="s">
        <v>778</v>
      </c>
      <c r="C31" s="968" t="s">
        <v>88</v>
      </c>
      <c r="D31" s="969">
        <v>1</v>
      </c>
      <c r="E31" s="971">
        <v>34901.54</v>
      </c>
      <c r="F31" s="944">
        <f>D31*E31</f>
        <v>34901.54</v>
      </c>
      <c r="G31" s="972">
        <v>0</v>
      </c>
      <c r="H31" s="939"/>
      <c r="I31" s="973">
        <f>G31+H31</f>
        <v>0</v>
      </c>
      <c r="J31" s="974">
        <f t="shared" ref="J31:J35" si="12">I31/D31*100</f>
        <v>0</v>
      </c>
      <c r="K31" s="946">
        <f t="shared" ref="K31:K35" si="13">G31*E31</f>
        <v>0</v>
      </c>
      <c r="L31" s="946"/>
      <c r="M31" s="946">
        <f>K31+L31</f>
        <v>0</v>
      </c>
      <c r="N31" s="115"/>
    </row>
    <row r="32" spans="1:14">
      <c r="A32" s="963">
        <f t="shared" ref="A32:A36" si="14">A31+0.01</f>
        <v>4.0199999999999996</v>
      </c>
      <c r="B32" s="970" t="s">
        <v>779</v>
      </c>
      <c r="C32" s="968" t="s">
        <v>38</v>
      </c>
      <c r="D32" s="969">
        <v>39.6</v>
      </c>
      <c r="E32" s="969">
        <v>342.67903999999999</v>
      </c>
      <c r="F32" s="944">
        <f>D32*E32</f>
        <v>13570.089984</v>
      </c>
      <c r="G32" s="972">
        <v>0</v>
      </c>
      <c r="H32" s="939"/>
      <c r="I32" s="973">
        <f t="shared" ref="I32:I35" si="15">G32+H32</f>
        <v>0</v>
      </c>
      <c r="J32" s="974">
        <f t="shared" si="12"/>
        <v>0</v>
      </c>
      <c r="K32" s="946">
        <f t="shared" si="13"/>
        <v>0</v>
      </c>
      <c r="L32" s="946"/>
      <c r="M32" s="946">
        <f t="shared" ref="M32:M36" si="16">K32+L32</f>
        <v>0</v>
      </c>
      <c r="N32" s="115"/>
    </row>
    <row r="33" spans="1:15">
      <c r="A33" s="963">
        <f t="shared" si="14"/>
        <v>4.0299999999999994</v>
      </c>
      <c r="B33" s="970" t="s">
        <v>39</v>
      </c>
      <c r="C33" s="968" t="s">
        <v>38</v>
      </c>
      <c r="D33" s="968">
        <v>2.8</v>
      </c>
      <c r="E33" s="942">
        <v>1234.8</v>
      </c>
      <c r="F33" s="944">
        <f>D33*E33</f>
        <v>3457.4399999999996</v>
      </c>
      <c r="G33" s="972">
        <v>0</v>
      </c>
      <c r="H33" s="939"/>
      <c r="I33" s="973">
        <f t="shared" si="15"/>
        <v>0</v>
      </c>
      <c r="J33" s="974">
        <f t="shared" si="12"/>
        <v>0</v>
      </c>
      <c r="K33" s="946">
        <f t="shared" si="13"/>
        <v>0</v>
      </c>
      <c r="L33" s="946"/>
      <c r="M33" s="946">
        <f t="shared" si="16"/>
        <v>0</v>
      </c>
      <c r="N33" s="115"/>
      <c r="O33" s="929"/>
    </row>
    <row r="34" spans="1:15" ht="24.75">
      <c r="A34" s="963">
        <f t="shared" si="14"/>
        <v>4.0399999999999991</v>
      </c>
      <c r="B34" s="970" t="s">
        <v>780</v>
      </c>
      <c r="C34" s="961" t="s">
        <v>38</v>
      </c>
      <c r="D34" s="937">
        <v>34.96</v>
      </c>
      <c r="E34" s="947">
        <v>96</v>
      </c>
      <c r="F34" s="944">
        <f>D34*E34</f>
        <v>3356.16</v>
      </c>
      <c r="G34" s="972">
        <v>0</v>
      </c>
      <c r="H34" s="939"/>
      <c r="I34" s="973">
        <f t="shared" si="15"/>
        <v>0</v>
      </c>
      <c r="J34" s="974">
        <f t="shared" si="12"/>
        <v>0</v>
      </c>
      <c r="K34" s="946">
        <f t="shared" si="13"/>
        <v>0</v>
      </c>
      <c r="L34" s="946"/>
      <c r="M34" s="946">
        <f t="shared" si="16"/>
        <v>0</v>
      </c>
      <c r="N34" s="115"/>
    </row>
    <row r="35" spans="1:15">
      <c r="A35" s="963">
        <f t="shared" si="14"/>
        <v>4.0499999999999989</v>
      </c>
      <c r="B35" s="970" t="s">
        <v>253</v>
      </c>
      <c r="C35" s="961" t="s">
        <v>38</v>
      </c>
      <c r="D35" s="937">
        <v>3.64</v>
      </c>
      <c r="E35" s="947">
        <v>209.09</v>
      </c>
      <c r="F35" s="944">
        <f>D35*E35</f>
        <v>761.08760000000007</v>
      </c>
      <c r="G35" s="972">
        <v>0</v>
      </c>
      <c r="H35" s="939"/>
      <c r="I35" s="973">
        <f t="shared" si="15"/>
        <v>0</v>
      </c>
      <c r="J35" s="974">
        <f t="shared" si="12"/>
        <v>0</v>
      </c>
      <c r="K35" s="946">
        <f t="shared" si="13"/>
        <v>0</v>
      </c>
      <c r="L35" s="946"/>
      <c r="M35" s="946">
        <f t="shared" si="16"/>
        <v>0</v>
      </c>
      <c r="N35" s="115"/>
    </row>
    <row r="36" spans="1:15">
      <c r="A36" s="964">
        <f t="shared" si="14"/>
        <v>4.0599999999999987</v>
      </c>
      <c r="B36" s="975" t="s">
        <v>781</v>
      </c>
      <c r="C36" s="961"/>
      <c r="D36" s="937"/>
      <c r="E36" s="949"/>
      <c r="F36" s="966">
        <f>SUM(F31:F35)</f>
        <v>56046.317584000004</v>
      </c>
      <c r="G36" s="951"/>
      <c r="H36" s="951"/>
      <c r="I36" s="951"/>
      <c r="J36" s="951"/>
      <c r="K36" s="952"/>
      <c r="L36" s="952"/>
      <c r="M36" s="952">
        <f t="shared" si="16"/>
        <v>0</v>
      </c>
      <c r="N36" s="115"/>
    </row>
    <row r="37" spans="1:15" ht="15" customHeight="1">
      <c r="A37" s="953">
        <v>5</v>
      </c>
      <c r="B37" s="967" t="s">
        <v>782</v>
      </c>
      <c r="C37" s="961"/>
      <c r="D37" s="937"/>
      <c r="E37" s="949"/>
      <c r="F37" s="947"/>
      <c r="G37" s="939"/>
      <c r="H37" s="939"/>
      <c r="I37" s="939"/>
      <c r="J37" s="939"/>
      <c r="K37" s="946"/>
      <c r="L37" s="946"/>
      <c r="M37" s="946"/>
      <c r="N37" s="115"/>
    </row>
    <row r="38" spans="1:15" ht="36.75">
      <c r="A38" s="963">
        <f>A37+0.01</f>
        <v>5.01</v>
      </c>
      <c r="B38" s="970" t="s">
        <v>778</v>
      </c>
      <c r="C38" s="961" t="s">
        <v>88</v>
      </c>
      <c r="D38" s="937">
        <v>1</v>
      </c>
      <c r="E38" s="944">
        <v>34901.54</v>
      </c>
      <c r="F38" s="944">
        <f>D38*E38</f>
        <v>34901.54</v>
      </c>
      <c r="G38" s="939"/>
      <c r="H38" s="939"/>
      <c r="I38" s="939"/>
      <c r="J38" s="939"/>
      <c r="K38" s="946"/>
      <c r="L38" s="946"/>
      <c r="M38" s="946"/>
      <c r="N38" s="115"/>
    </row>
    <row r="39" spans="1:15">
      <c r="A39" s="963">
        <f t="shared" ref="A39:A43" si="17">A38+0.01</f>
        <v>5.0199999999999996</v>
      </c>
      <c r="B39" s="970" t="s">
        <v>779</v>
      </c>
      <c r="C39" s="961" t="s">
        <v>38</v>
      </c>
      <c r="D39" s="937">
        <v>13.68</v>
      </c>
      <c r="E39" s="944">
        <v>342.67908999999997</v>
      </c>
      <c r="F39" s="944">
        <f>D39*E39</f>
        <v>4687.8499511999999</v>
      </c>
      <c r="G39" s="939"/>
      <c r="H39" s="939"/>
      <c r="I39" s="939"/>
      <c r="J39" s="939"/>
      <c r="K39" s="946"/>
      <c r="L39" s="946"/>
      <c r="M39" s="946"/>
      <c r="N39" s="115"/>
    </row>
    <row r="40" spans="1:15">
      <c r="A40" s="963">
        <f t="shared" si="17"/>
        <v>5.0299999999999994</v>
      </c>
      <c r="B40" s="970" t="s">
        <v>39</v>
      </c>
      <c r="C40" s="961" t="s">
        <v>38</v>
      </c>
      <c r="D40" s="937">
        <v>0.64</v>
      </c>
      <c r="E40" s="944">
        <v>1234.8</v>
      </c>
      <c r="F40" s="944">
        <f>D40*E40</f>
        <v>790.27199999999993</v>
      </c>
      <c r="G40" s="939"/>
      <c r="H40" s="939"/>
      <c r="I40" s="939"/>
      <c r="J40" s="939"/>
      <c r="K40" s="946"/>
      <c r="L40" s="946"/>
      <c r="M40" s="946"/>
      <c r="N40" s="115"/>
    </row>
    <row r="41" spans="1:15">
      <c r="A41" s="963">
        <f t="shared" si="17"/>
        <v>5.0399999999999991</v>
      </c>
      <c r="B41" s="970" t="s">
        <v>783</v>
      </c>
      <c r="C41" s="961" t="s">
        <v>38</v>
      </c>
      <c r="D41" s="937">
        <v>12.39</v>
      </c>
      <c r="E41" s="944">
        <v>96</v>
      </c>
      <c r="F41" s="944">
        <f>D41*E41</f>
        <v>1189.44</v>
      </c>
      <c r="G41" s="939"/>
      <c r="H41" s="939"/>
      <c r="I41" s="939"/>
      <c r="J41" s="939"/>
      <c r="K41" s="946"/>
      <c r="L41" s="946"/>
      <c r="M41" s="946"/>
      <c r="N41" s="115"/>
    </row>
    <row r="42" spans="1:15">
      <c r="A42" s="963">
        <f t="shared" si="17"/>
        <v>5.0499999999999989</v>
      </c>
      <c r="B42" s="970" t="s">
        <v>253</v>
      </c>
      <c r="C42" s="961" t="s">
        <v>38</v>
      </c>
      <c r="D42" s="937">
        <v>0.83</v>
      </c>
      <c r="E42" s="944">
        <v>209.09100000000001</v>
      </c>
      <c r="F42" s="944">
        <f>D42*E42</f>
        <v>173.54552999999999</v>
      </c>
      <c r="G42" s="939"/>
      <c r="H42" s="939"/>
      <c r="I42" s="939"/>
      <c r="J42" s="939"/>
      <c r="K42" s="946"/>
      <c r="L42" s="946"/>
      <c r="M42" s="946"/>
      <c r="N42" s="115"/>
    </row>
    <row r="43" spans="1:15" ht="18" customHeight="1">
      <c r="A43" s="964">
        <f t="shared" si="17"/>
        <v>5.0599999999999987</v>
      </c>
      <c r="B43" s="967" t="s">
        <v>784</v>
      </c>
      <c r="C43" s="961"/>
      <c r="D43" s="937"/>
      <c r="E43" s="949"/>
      <c r="F43" s="947">
        <f>SUM(F38:F42)</f>
        <v>41742.647481200001</v>
      </c>
      <c r="G43" s="939"/>
      <c r="H43" s="939"/>
      <c r="I43" s="939"/>
      <c r="J43" s="939"/>
      <c r="K43" s="946"/>
      <c r="L43" s="946"/>
      <c r="M43" s="946"/>
      <c r="N43" s="115"/>
    </row>
    <row r="44" spans="1:15">
      <c r="A44" s="953">
        <v>6</v>
      </c>
      <c r="B44" s="967" t="s">
        <v>785</v>
      </c>
      <c r="C44" s="943"/>
      <c r="D44" s="937"/>
      <c r="E44" s="944"/>
      <c r="F44" s="976"/>
      <c r="G44" s="939"/>
      <c r="H44" s="939"/>
      <c r="I44" s="939"/>
      <c r="J44" s="939"/>
      <c r="K44" s="946"/>
      <c r="L44" s="946"/>
      <c r="M44" s="946"/>
      <c r="N44" s="115"/>
    </row>
    <row r="45" spans="1:15">
      <c r="A45" s="963">
        <f>A44+0.01</f>
        <v>6.01</v>
      </c>
      <c r="B45" s="970" t="s">
        <v>786</v>
      </c>
      <c r="C45" s="961" t="s">
        <v>50</v>
      </c>
      <c r="D45" s="937">
        <v>155</v>
      </c>
      <c r="E45" s="946">
        <v>17817.580000000002</v>
      </c>
      <c r="F45" s="947">
        <f>D45*E45</f>
        <v>2761724.9000000004</v>
      </c>
      <c r="G45" s="938">
        <v>64.995387600000001</v>
      </c>
      <c r="H45" s="939">
        <v>65</v>
      </c>
      <c r="I45" s="938">
        <f t="shared" ref="I45:I46" si="18">G45+H45</f>
        <v>129.99538760000002</v>
      </c>
      <c r="J45" s="945">
        <f t="shared" ref="J45:J46" si="19">I45/D45*100</f>
        <v>83.867992000000015</v>
      </c>
      <c r="K45" s="946">
        <f>G45*E45</f>
        <v>1158060.5181940082</v>
      </c>
      <c r="L45" s="947">
        <f>H45*E45</f>
        <v>1158142.7000000002</v>
      </c>
      <c r="M45" s="946">
        <f>K45+L45</f>
        <v>2316203.2181940083</v>
      </c>
      <c r="N45" s="115"/>
    </row>
    <row r="46" spans="1:15">
      <c r="A46" s="963">
        <f t="shared" ref="A46:A47" si="20">A45+0.01</f>
        <v>6.02</v>
      </c>
      <c r="B46" s="970" t="s">
        <v>787</v>
      </c>
      <c r="C46" s="961" t="s">
        <v>50</v>
      </c>
      <c r="D46" s="937">
        <v>5</v>
      </c>
      <c r="E46" s="947">
        <v>62224.078000000001</v>
      </c>
      <c r="F46" s="947">
        <f>D46*E46</f>
        <v>311120.39</v>
      </c>
      <c r="G46" s="938">
        <v>2</v>
      </c>
      <c r="H46" s="939">
        <v>3</v>
      </c>
      <c r="I46" s="938">
        <f t="shared" si="18"/>
        <v>5</v>
      </c>
      <c r="J46" s="945">
        <f t="shared" si="19"/>
        <v>100</v>
      </c>
      <c r="K46" s="946">
        <f>G46*E46</f>
        <v>124448.156</v>
      </c>
      <c r="L46" s="947">
        <f>H46*E46</f>
        <v>186672.234</v>
      </c>
      <c r="M46" s="946">
        <f>K46+L46</f>
        <v>311120.39</v>
      </c>
      <c r="N46" s="115"/>
    </row>
    <row r="47" spans="1:15">
      <c r="A47" s="964">
        <f t="shared" si="20"/>
        <v>6.0299999999999994</v>
      </c>
      <c r="B47" s="967" t="s">
        <v>788</v>
      </c>
      <c r="C47" s="943"/>
      <c r="D47" s="936"/>
      <c r="E47" s="940"/>
      <c r="F47" s="977">
        <f>SUM(F45:F46)</f>
        <v>3072845.2900000005</v>
      </c>
      <c r="G47" s="951"/>
      <c r="H47" s="951"/>
      <c r="I47" s="951"/>
      <c r="J47" s="951"/>
      <c r="K47" s="952">
        <f>SUM(K45:K46)</f>
        <v>1282508.6741940081</v>
      </c>
      <c r="L47" s="952">
        <f>SUM(L45:L46)</f>
        <v>1344814.9340000001</v>
      </c>
      <c r="M47" s="952">
        <f>SUM(K47:L47)</f>
        <v>2627323.6081940085</v>
      </c>
      <c r="N47" s="115"/>
    </row>
    <row r="48" spans="1:15" ht="24.75">
      <c r="A48" s="963"/>
      <c r="B48" s="970" t="s">
        <v>789</v>
      </c>
      <c r="C48" s="943"/>
      <c r="D48" s="936"/>
      <c r="E48" s="940"/>
      <c r="F48" s="978"/>
      <c r="G48" s="939"/>
      <c r="H48" s="939"/>
      <c r="I48" s="939"/>
      <c r="J48" s="939"/>
      <c r="K48" s="946"/>
      <c r="L48" s="946"/>
      <c r="M48" s="946"/>
      <c r="N48" s="115"/>
    </row>
    <row r="49" spans="1:14">
      <c r="A49" s="963"/>
      <c r="B49" s="942" t="s">
        <v>773</v>
      </c>
      <c r="C49" s="943"/>
      <c r="D49" s="936"/>
      <c r="E49" s="940"/>
      <c r="F49" s="978"/>
      <c r="G49" s="939"/>
      <c r="H49" s="939"/>
      <c r="I49" s="939"/>
      <c r="J49" s="939"/>
      <c r="K49" s="946"/>
      <c r="L49" s="946"/>
      <c r="M49" s="946"/>
      <c r="N49" s="115"/>
    </row>
    <row r="50" spans="1:14">
      <c r="A50" s="963"/>
      <c r="B50" s="942" t="s">
        <v>774</v>
      </c>
      <c r="C50" s="943" t="s">
        <v>50</v>
      </c>
      <c r="D50" s="937">
        <v>10</v>
      </c>
      <c r="E50" s="937">
        <v>46530.901769999997</v>
      </c>
      <c r="F50" s="944">
        <f>D50*E50</f>
        <v>465309.01769999997</v>
      </c>
      <c r="G50" s="973">
        <v>0</v>
      </c>
      <c r="H50" s="939"/>
      <c r="I50" s="973">
        <f>G50+H50</f>
        <v>0</v>
      </c>
      <c r="J50" s="974">
        <f t="shared" ref="J50" si="21">I50/D50*100</f>
        <v>0</v>
      </c>
      <c r="K50" s="946">
        <f>G50*E50</f>
        <v>0</v>
      </c>
      <c r="L50" s="946"/>
      <c r="M50" s="946">
        <f>K50+L50</f>
        <v>0</v>
      </c>
      <c r="N50" s="115"/>
    </row>
    <row r="51" spans="1:14">
      <c r="A51" s="963"/>
      <c r="B51" s="979" t="s">
        <v>166</v>
      </c>
      <c r="C51" s="936"/>
      <c r="D51" s="936"/>
      <c r="E51" s="940"/>
      <c r="F51" s="980">
        <f>F47+F43+F36+F29+F25+F13</f>
        <v>21363735.055915199</v>
      </c>
      <c r="G51" s="981"/>
      <c r="H51" s="982"/>
      <c r="I51" s="982"/>
      <c r="J51" s="982"/>
      <c r="K51" s="983">
        <f>K25+K13+K47+K36+K50+K29</f>
        <v>16438366.603053505</v>
      </c>
      <c r="L51" s="983">
        <f>L47+L29+L25+L13+L50+L36</f>
        <v>4029452.5024505015</v>
      </c>
      <c r="M51" s="983">
        <f>K51+L51</f>
        <v>20467819.105504006</v>
      </c>
      <c r="N51" s="115"/>
    </row>
    <row r="52" spans="1:14" ht="15.75">
      <c r="A52" s="984"/>
      <c r="B52" s="985"/>
      <c r="C52" s="986"/>
      <c r="D52" s="986"/>
      <c r="E52" s="985"/>
      <c r="F52" s="987"/>
      <c r="G52" s="988"/>
      <c r="K52" s="115"/>
      <c r="L52" s="115"/>
      <c r="M52" s="115"/>
      <c r="N52" s="115"/>
    </row>
    <row r="53" spans="1:14" ht="15.75">
      <c r="A53" s="984"/>
      <c r="B53" s="985"/>
      <c r="C53" s="986"/>
      <c r="D53" s="986"/>
      <c r="E53" s="985"/>
      <c r="F53" s="987"/>
      <c r="G53" s="988"/>
      <c r="K53" s="115"/>
      <c r="L53" s="115"/>
      <c r="M53" s="115"/>
      <c r="N53" s="115"/>
    </row>
    <row r="54" spans="1:14" ht="15.75">
      <c r="A54" s="984"/>
      <c r="B54" s="985"/>
      <c r="C54" s="986"/>
      <c r="D54" s="986"/>
      <c r="E54" s="985"/>
      <c r="F54" s="987"/>
      <c r="G54" s="988"/>
      <c r="K54" s="115"/>
      <c r="L54" s="115"/>
      <c r="M54" s="115"/>
      <c r="N54" s="115"/>
    </row>
    <row r="55" spans="1:14" ht="15.75">
      <c r="A55" s="984"/>
      <c r="B55" s="985"/>
      <c r="C55" s="986"/>
      <c r="D55" s="986"/>
      <c r="E55" s="985"/>
      <c r="F55" s="987"/>
      <c r="G55" s="988"/>
      <c r="K55" s="115"/>
      <c r="L55" s="115"/>
      <c r="M55" s="115"/>
      <c r="N55" s="115"/>
    </row>
    <row r="56" spans="1:14" ht="15.75">
      <c r="A56" s="984"/>
      <c r="B56" s="985"/>
      <c r="C56" s="986"/>
      <c r="D56" s="986"/>
      <c r="E56" s="985"/>
      <c r="F56" s="987"/>
      <c r="G56" s="988"/>
      <c r="K56" s="115"/>
      <c r="L56" s="115"/>
      <c r="M56" s="115"/>
      <c r="N56" s="115"/>
    </row>
    <row r="57" spans="1:14">
      <c r="A57" s="1004" t="s">
        <v>0</v>
      </c>
      <c r="B57" s="1004"/>
      <c r="C57" s="1004"/>
      <c r="D57" s="1004"/>
      <c r="E57" s="1004"/>
      <c r="F57" s="1004"/>
      <c r="G57" s="1004"/>
      <c r="H57" s="1004"/>
      <c r="I57" s="1004"/>
      <c r="J57" s="1004"/>
      <c r="K57" s="1004"/>
      <c r="L57" s="1004"/>
      <c r="M57" s="1004"/>
      <c r="N57" s="153"/>
    </row>
    <row r="58" spans="1:14">
      <c r="A58" s="1005" t="s">
        <v>1</v>
      </c>
      <c r="B58" s="1005"/>
      <c r="C58" s="1005"/>
      <c r="D58" s="1005"/>
      <c r="E58" s="1005"/>
      <c r="F58" s="1005"/>
      <c r="G58" s="1005"/>
      <c r="H58" s="1005"/>
      <c r="I58" s="1005"/>
      <c r="J58" s="1005"/>
      <c r="K58" s="1005"/>
      <c r="L58" s="1005"/>
      <c r="M58" s="1005"/>
      <c r="N58" s="153"/>
    </row>
    <row r="59" spans="1:14">
      <c r="A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154" t="s">
        <v>120</v>
      </c>
      <c r="N59" s="153"/>
    </row>
    <row r="60" spans="1:14">
      <c r="A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"/>
      <c r="N60" s="153"/>
    </row>
    <row r="61" spans="1:14" ht="15" customHeight="1">
      <c r="A61" s="3"/>
      <c r="B61" s="4" t="s">
        <v>2</v>
      </c>
      <c r="C61" s="1006" t="s">
        <v>755</v>
      </c>
      <c r="D61" s="1006"/>
      <c r="E61" s="1006"/>
      <c r="F61" s="1006"/>
      <c r="G61" s="1006"/>
      <c r="H61" s="1006"/>
      <c r="I61" s="1006"/>
      <c r="J61" s="3"/>
      <c r="K61" s="3"/>
      <c r="L61" s="4" t="s">
        <v>4</v>
      </c>
      <c r="M61" s="6">
        <v>24315191.309999999</v>
      </c>
      <c r="N61" s="153"/>
    </row>
    <row r="62" spans="1:14">
      <c r="A62" s="3"/>
      <c r="B62" s="4" t="s">
        <v>5</v>
      </c>
      <c r="C62" s="7">
        <v>3</v>
      </c>
      <c r="D62" s="3"/>
      <c r="E62" s="8"/>
      <c r="F62" s="8"/>
      <c r="G62" s="8"/>
      <c r="H62" s="3"/>
      <c r="I62" s="3"/>
      <c r="J62" s="3"/>
      <c r="K62" s="3"/>
      <c r="L62" s="4" t="s">
        <v>6</v>
      </c>
      <c r="M62" s="6">
        <v>4863038.46</v>
      </c>
      <c r="N62" s="153"/>
    </row>
    <row r="63" spans="1:14">
      <c r="A63" s="3"/>
      <c r="B63" s="4" t="s">
        <v>7</v>
      </c>
      <c r="C63" s="8" t="s">
        <v>756</v>
      </c>
      <c r="D63" s="8"/>
      <c r="E63" s="8"/>
      <c r="F63" s="8" t="s">
        <v>124</v>
      </c>
      <c r="G63" s="11"/>
      <c r="H63" s="3"/>
      <c r="I63" s="3"/>
      <c r="J63" s="3"/>
      <c r="K63" s="3"/>
      <c r="L63" s="4" t="s">
        <v>9</v>
      </c>
      <c r="M63" s="13" t="s">
        <v>757</v>
      </c>
      <c r="N63" s="153">
        <v>4863038.46</v>
      </c>
    </row>
    <row r="64" spans="1:14">
      <c r="A64" s="3"/>
      <c r="B64" s="4" t="s">
        <v>11</v>
      </c>
      <c r="C64" s="8" t="s">
        <v>758</v>
      </c>
      <c r="D64" s="8"/>
      <c r="E64" s="8"/>
      <c r="F64" s="8"/>
      <c r="H64" s="3"/>
      <c r="I64" s="3"/>
      <c r="J64" s="3"/>
      <c r="K64" s="3"/>
      <c r="L64" s="3"/>
      <c r="M64" s="3"/>
      <c r="N64" s="153"/>
    </row>
    <row r="65" spans="1:14">
      <c r="A65" s="3"/>
      <c r="B65" s="3"/>
      <c r="C65" s="3"/>
      <c r="D65" s="3"/>
      <c r="E65" s="3"/>
      <c r="F65" s="8"/>
      <c r="G65" s="3"/>
      <c r="H65" s="3"/>
      <c r="I65" s="3"/>
      <c r="J65" s="3"/>
      <c r="K65" s="3"/>
      <c r="L65" s="3"/>
      <c r="M65" s="3"/>
      <c r="N65" s="153"/>
    </row>
    <row r="66" spans="1:14" ht="15.75">
      <c r="A66" s="984"/>
      <c r="B66" s="985"/>
      <c r="C66" s="986"/>
      <c r="D66" s="986"/>
      <c r="E66" s="985"/>
      <c r="F66" s="1105" t="s">
        <v>94</v>
      </c>
      <c r="G66" s="1105"/>
      <c r="H66" s="1033" t="s">
        <v>22</v>
      </c>
      <c r="I66" s="1033"/>
      <c r="J66" s="1004" t="s">
        <v>23</v>
      </c>
      <c r="K66" s="1004"/>
      <c r="L66" s="1004" t="s">
        <v>24</v>
      </c>
      <c r="M66" s="1004"/>
      <c r="N66" s="153"/>
    </row>
    <row r="67" spans="1:14" ht="15.75">
      <c r="A67" s="984"/>
      <c r="B67" s="7" t="s">
        <v>167</v>
      </c>
      <c r="C67" s="166"/>
      <c r="D67" s="166"/>
      <c r="E67" s="985"/>
      <c r="F67" s="1106">
        <f>F51</f>
        <v>21363735.055915199</v>
      </c>
      <c r="G67" s="1106"/>
      <c r="H67" s="1014">
        <f>K51</f>
        <v>16438366.603053505</v>
      </c>
      <c r="I67" s="1014"/>
      <c r="J67" s="1014">
        <f>L51</f>
        <v>4029452.5024505015</v>
      </c>
      <c r="K67" s="1014"/>
      <c r="L67" s="1014">
        <f>H67+J67</f>
        <v>20467819.105504006</v>
      </c>
      <c r="M67" s="1014"/>
      <c r="N67" s="153"/>
    </row>
    <row r="68" spans="1:14" ht="15.75">
      <c r="A68" s="986"/>
      <c r="L68" s="1107"/>
      <c r="M68" s="1107"/>
    </row>
    <row r="69" spans="1:14" ht="15.75">
      <c r="A69" s="986"/>
      <c r="B69" s="7" t="s">
        <v>96</v>
      </c>
      <c r="L69" s="1010"/>
      <c r="M69" s="1010"/>
      <c r="N69" s="153"/>
    </row>
    <row r="70" spans="1:14" ht="15.75">
      <c r="A70" s="986"/>
      <c r="B70" s="8" t="s">
        <v>98</v>
      </c>
      <c r="C70" s="166"/>
      <c r="D70" s="170">
        <v>3.5000000000000003E-2</v>
      </c>
      <c r="E70" s="989"/>
      <c r="F70" s="1103">
        <f>F51*D70</f>
        <v>747730.72695703199</v>
      </c>
      <c r="G70" s="1103"/>
      <c r="H70" s="1094">
        <f>H67*D70</f>
        <v>575342.83110687276</v>
      </c>
      <c r="I70" s="1094"/>
      <c r="J70" s="1094">
        <f>J67*D70</f>
        <v>141030.83758576756</v>
      </c>
      <c r="K70" s="1094"/>
      <c r="L70" s="1096">
        <f>H70+J70</f>
        <v>716373.66869264026</v>
      </c>
      <c r="M70" s="1096"/>
      <c r="N70" s="153"/>
    </row>
    <row r="71" spans="1:14" ht="15.75">
      <c r="A71" s="990"/>
      <c r="B71" s="8" t="s">
        <v>97</v>
      </c>
      <c r="C71" s="166"/>
      <c r="D71" s="168">
        <v>0.1</v>
      </c>
      <c r="E71" s="985"/>
      <c r="F71" s="1103">
        <f>F51*D71</f>
        <v>2136373.5055915201</v>
      </c>
      <c r="G71" s="1103"/>
      <c r="H71" s="1094">
        <f>H67*D71</f>
        <v>1643836.6603053506</v>
      </c>
      <c r="I71" s="1094"/>
      <c r="J71" s="1094">
        <f>J67*D71</f>
        <v>402945.25024505018</v>
      </c>
      <c r="K71" s="1094"/>
      <c r="L71" s="1096">
        <f t="shared" ref="L71:L76" si="22">H71+J71</f>
        <v>2046781.9105504006</v>
      </c>
      <c r="M71" s="1096"/>
      <c r="N71" s="153"/>
    </row>
    <row r="72" spans="1:14" ht="15.75">
      <c r="A72" s="991"/>
      <c r="B72" s="8" t="s">
        <v>103</v>
      </c>
      <c r="C72" s="166"/>
      <c r="D72" s="168">
        <v>0.18</v>
      </c>
      <c r="E72" s="985"/>
      <c r="F72" s="1103">
        <f>F71*D72</f>
        <v>384547.23100647359</v>
      </c>
      <c r="G72" s="1103"/>
      <c r="H72" s="1094">
        <f>H71*D72</f>
        <v>295890.59885496309</v>
      </c>
      <c r="I72" s="1094"/>
      <c r="J72" s="1094">
        <f>J71*D72</f>
        <v>72530.145044109027</v>
      </c>
      <c r="K72" s="1094"/>
      <c r="L72" s="1096">
        <f t="shared" si="22"/>
        <v>368420.74389907211</v>
      </c>
      <c r="M72" s="1096"/>
      <c r="N72" s="153"/>
    </row>
    <row r="73" spans="1:14" ht="15.75">
      <c r="A73" s="984"/>
      <c r="B73" s="8" t="s">
        <v>100</v>
      </c>
      <c r="C73" s="168"/>
      <c r="D73" s="172">
        <v>0.03</v>
      </c>
      <c r="E73" s="985"/>
      <c r="F73" s="1104">
        <f>F51*D73</f>
        <v>640912.05167745601</v>
      </c>
      <c r="G73" s="1104"/>
      <c r="H73" s="1094">
        <f>H67*D73</f>
        <v>493150.99809160514</v>
      </c>
      <c r="I73" s="1094"/>
      <c r="J73" s="1094">
        <f>J67*D73</f>
        <v>120883.57507351504</v>
      </c>
      <c r="K73" s="1094"/>
      <c r="L73" s="1096">
        <f t="shared" si="22"/>
        <v>614034.57316512021</v>
      </c>
      <c r="M73" s="1096"/>
      <c r="N73" s="153"/>
    </row>
    <row r="74" spans="1:14" ht="15.75" customHeight="1">
      <c r="A74" s="984"/>
      <c r="B74" s="8" t="s">
        <v>168</v>
      </c>
      <c r="C74" s="166"/>
      <c r="D74" s="166">
        <v>0.02</v>
      </c>
      <c r="E74" s="990"/>
      <c r="F74" s="1102">
        <f>F51*D74</f>
        <v>427274.70111830399</v>
      </c>
      <c r="G74" s="1102"/>
      <c r="H74" s="1094">
        <f>H67*D74</f>
        <v>328767.33206107008</v>
      </c>
      <c r="I74" s="1094"/>
      <c r="J74" s="1094">
        <f>J67*D74</f>
        <v>80589.050049010038</v>
      </c>
      <c r="K74" s="1094"/>
      <c r="L74" s="1096">
        <f t="shared" si="22"/>
        <v>409356.3821100801</v>
      </c>
      <c r="M74" s="1096"/>
      <c r="N74" s="153"/>
    </row>
    <row r="75" spans="1:14" ht="15.75" customHeight="1">
      <c r="A75" s="992"/>
      <c r="B75" s="8" t="s">
        <v>101</v>
      </c>
      <c r="C75" s="166"/>
      <c r="D75" s="168">
        <v>0.01</v>
      </c>
      <c r="E75" s="993"/>
      <c r="F75" s="1100">
        <f>F51*D75</f>
        <v>213637.35055915199</v>
      </c>
      <c r="G75" s="1100"/>
      <c r="H75" s="1094">
        <f>H67*D75</f>
        <v>164383.66603053504</v>
      </c>
      <c r="I75" s="1094"/>
      <c r="J75" s="1094">
        <f>J67*D75</f>
        <v>40294.525024505019</v>
      </c>
      <c r="K75" s="1094"/>
      <c r="L75" s="1096">
        <f t="shared" si="22"/>
        <v>204678.19105504005</v>
      </c>
      <c r="M75" s="1096"/>
      <c r="N75" s="153"/>
    </row>
    <row r="76" spans="1:14" ht="15.75">
      <c r="A76" s="100"/>
      <c r="B76" s="8" t="s">
        <v>102</v>
      </c>
      <c r="C76" s="166"/>
      <c r="D76" s="166">
        <v>1E-3</v>
      </c>
      <c r="E76" s="985"/>
      <c r="F76" s="1100">
        <f>F51*D76</f>
        <v>21363.7350559152</v>
      </c>
      <c r="G76" s="1100"/>
      <c r="H76" s="1094">
        <f>H67*D76</f>
        <v>16438.366603053506</v>
      </c>
      <c r="I76" s="1094"/>
      <c r="J76" s="1094">
        <f>J67*D76</f>
        <v>4029.4525024505015</v>
      </c>
      <c r="K76" s="1094"/>
      <c r="L76" s="1096">
        <f t="shared" si="22"/>
        <v>20467.819105504008</v>
      </c>
      <c r="M76" s="1096"/>
      <c r="N76" s="153"/>
    </row>
    <row r="77" spans="1:14" ht="15.75">
      <c r="A77" s="107"/>
      <c r="B77" s="8" t="s">
        <v>790</v>
      </c>
      <c r="C77" s="166"/>
      <c r="D77" s="168">
        <v>0.05</v>
      </c>
      <c r="E77" s="994"/>
      <c r="F77" s="1101">
        <f>F51*D77</f>
        <v>1068186.7527957601</v>
      </c>
      <c r="G77" s="1101"/>
      <c r="H77" s="1096"/>
      <c r="I77" s="1096"/>
      <c r="J77" s="1096"/>
      <c r="K77" s="1096"/>
      <c r="L77" s="1095"/>
      <c r="M77" s="1095"/>
      <c r="N77" s="153"/>
    </row>
    <row r="78" spans="1:14" ht="15.75">
      <c r="A78" s="107"/>
      <c r="B78" s="8" t="s">
        <v>726</v>
      </c>
      <c r="C78" s="278"/>
      <c r="D78" s="168">
        <v>0.05</v>
      </c>
      <c r="E78" s="995"/>
      <c r="F78" s="1094">
        <f>F51*D78</f>
        <v>1068186.7527957601</v>
      </c>
      <c r="G78" s="1094"/>
      <c r="H78" s="1095"/>
      <c r="I78" s="1095"/>
      <c r="J78" s="1096"/>
      <c r="K78" s="1096"/>
      <c r="L78" s="1097"/>
      <c r="M78" s="1097"/>
      <c r="N78" s="153"/>
    </row>
    <row r="79" spans="1:14" ht="15.75" customHeight="1">
      <c r="A79" s="107"/>
      <c r="B79" s="8" t="s">
        <v>791</v>
      </c>
      <c r="C79" s="278"/>
      <c r="D79" s="280">
        <v>1</v>
      </c>
      <c r="E79" s="79"/>
      <c r="F79" s="1098">
        <v>150000</v>
      </c>
      <c r="G79" s="1098"/>
      <c r="H79" s="1095"/>
      <c r="I79" s="1095"/>
      <c r="J79" s="1095"/>
      <c r="K79" s="1095"/>
      <c r="L79" s="1099"/>
      <c r="M79" s="1099"/>
      <c r="N79" s="115"/>
    </row>
    <row r="80" spans="1:14" ht="15.75">
      <c r="A80" s="107"/>
      <c r="B80" s="79"/>
      <c r="C80" s="108"/>
      <c r="D80" s="80"/>
      <c r="E80" s="80"/>
      <c r="F80" s="80"/>
      <c r="G80" s="985"/>
      <c r="H80" s="1035"/>
      <c r="I80" s="1035"/>
      <c r="J80" s="1036"/>
      <c r="K80" s="1036"/>
      <c r="L80" s="1092"/>
      <c r="M80" s="1092"/>
      <c r="N80" s="115"/>
    </row>
    <row r="81" spans="1:14" ht="15.75" customHeight="1">
      <c r="A81" s="996"/>
      <c r="B81" s="173" t="s">
        <v>104</v>
      </c>
      <c r="C81" s="108"/>
      <c r="D81" s="80"/>
      <c r="E81" s="80"/>
      <c r="F81" s="1093">
        <f>SUM(F70:F80)</f>
        <v>6858212.8075573724</v>
      </c>
      <c r="G81" s="1093"/>
      <c r="H81" s="1020">
        <f>SUM(H70:I79)</f>
        <v>3517810.4530534502</v>
      </c>
      <c r="I81" s="1020"/>
      <c r="J81" s="1018">
        <f>SUM(J70:K80)</f>
        <v>862302.83552440756</v>
      </c>
      <c r="K81" s="1018"/>
      <c r="L81" s="1018">
        <f>SUM(L70:L80)</f>
        <v>4380113.2885778574</v>
      </c>
      <c r="M81" s="1018"/>
      <c r="N81" s="115"/>
    </row>
    <row r="82" spans="1:14" ht="15.75">
      <c r="A82" s="996"/>
      <c r="B82" s="173"/>
      <c r="C82" s="108"/>
      <c r="D82" s="80"/>
      <c r="E82" s="80"/>
      <c r="F82" s="81"/>
      <c r="G82" s="985"/>
      <c r="H82" s="177"/>
      <c r="I82" s="177"/>
      <c r="J82" s="997"/>
      <c r="K82" s="997"/>
      <c r="L82" s="1091"/>
      <c r="M82" s="1091"/>
      <c r="N82" s="115"/>
    </row>
    <row r="83" spans="1:14" ht="15.6" customHeight="1">
      <c r="A83" s="996"/>
      <c r="B83" s="173" t="s">
        <v>106</v>
      </c>
      <c r="C83" s="108"/>
      <c r="D83" s="80"/>
      <c r="E83" s="80"/>
      <c r="F83" s="998">
        <f>F81+F67</f>
        <v>28221947.863472573</v>
      </c>
      <c r="G83" s="998"/>
      <c r="H83" s="1020">
        <f>H67+H81</f>
        <v>19956177.056106955</v>
      </c>
      <c r="I83" s="1020"/>
      <c r="J83" s="1018">
        <f>J67+J81</f>
        <v>4891755.3379749088</v>
      </c>
      <c r="K83" s="1018"/>
      <c r="L83" s="1018">
        <f>L67+L81</f>
        <v>24847932.394081865</v>
      </c>
      <c r="M83" s="1018"/>
      <c r="N83" s="999">
        <f>L83/F83</f>
        <v>0.88044710855136732</v>
      </c>
    </row>
    <row r="84" spans="1:14" ht="15.75">
      <c r="B84" s="5"/>
      <c r="C84" s="1000"/>
      <c r="D84" s="80"/>
      <c r="E84" s="80"/>
      <c r="F84" s="81"/>
      <c r="G84" s="985"/>
      <c r="H84" s="169"/>
      <c r="I84" s="169"/>
      <c r="K84" s="115"/>
      <c r="L84" s="115"/>
      <c r="M84" s="115"/>
      <c r="N84" s="115"/>
    </row>
    <row r="85" spans="1:14" ht="15.75">
      <c r="B85" s="7" t="s">
        <v>108</v>
      </c>
      <c r="C85" s="154"/>
      <c r="D85" s="186">
        <v>0.2</v>
      </c>
      <c r="E85" s="1001"/>
      <c r="F85" s="1001"/>
      <c r="G85" s="985"/>
      <c r="H85" s="1018">
        <f>D85*H83</f>
        <v>3991235.4112213911</v>
      </c>
      <c r="I85" s="1018"/>
      <c r="J85" s="1018">
        <f>N63-H85</f>
        <v>871803.04877860891</v>
      </c>
      <c r="K85" s="1018"/>
      <c r="L85" s="1018">
        <f>H85+J85</f>
        <v>4863038.46</v>
      </c>
      <c r="M85" s="1018"/>
      <c r="N85" s="115"/>
    </row>
    <row r="86" spans="1:14">
      <c r="H86" s="1002"/>
      <c r="I86" s="1002"/>
      <c r="J86" s="144"/>
      <c r="K86" s="144"/>
      <c r="L86" s="144"/>
      <c r="M86" s="144"/>
      <c r="N86" s="115"/>
    </row>
    <row r="87" spans="1:14">
      <c r="B87" s="121" t="s">
        <v>176</v>
      </c>
      <c r="H87" s="1018">
        <f>H83-H85</f>
        <v>15964941.644885564</v>
      </c>
      <c r="I87" s="1018"/>
      <c r="J87" s="1090">
        <f>J83-J85</f>
        <v>4019952.2891962999</v>
      </c>
      <c r="K87" s="1090"/>
      <c r="L87" s="1018">
        <f>H87+J87</f>
        <v>19984893.934081864</v>
      </c>
      <c r="M87" s="1018"/>
      <c r="N87" s="273"/>
    </row>
    <row r="88" spans="1:14">
      <c r="J88" s="79"/>
      <c r="K88" s="115"/>
      <c r="L88" s="115"/>
      <c r="M88" s="115"/>
      <c r="N88" s="273"/>
    </row>
    <row r="89" spans="1:14">
      <c r="K89" s="273"/>
      <c r="L89" s="273"/>
      <c r="M89" s="273"/>
      <c r="N89" s="273"/>
    </row>
    <row r="90" spans="1:14">
      <c r="B90" s="1" t="s">
        <v>111</v>
      </c>
      <c r="C90" s="8"/>
      <c r="D90" s="8"/>
      <c r="E90" s="1004" t="s">
        <v>729</v>
      </c>
      <c r="F90" s="1004"/>
      <c r="G90" s="1004"/>
      <c r="H90" s="1004"/>
      <c r="I90" s="8"/>
      <c r="J90" s="1"/>
      <c r="K90" s="1004" t="s">
        <v>112</v>
      </c>
      <c r="L90" s="1004"/>
      <c r="M90" s="1004"/>
    </row>
    <row r="91" spans="1:14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4">
      <c r="B92" s="1" t="s">
        <v>114</v>
      </c>
      <c r="C92" s="8"/>
      <c r="D92" s="8"/>
      <c r="E92" s="1004" t="s">
        <v>792</v>
      </c>
      <c r="F92" s="1004"/>
      <c r="G92" s="1004"/>
      <c r="H92" s="1004"/>
      <c r="J92" s="1"/>
      <c r="K92" s="1022" t="s">
        <v>793</v>
      </c>
      <c r="L92" s="1022"/>
      <c r="M92" s="1022"/>
    </row>
    <row r="93" spans="1:14">
      <c r="B93" s="1" t="s">
        <v>174</v>
      </c>
      <c r="C93" s="8"/>
      <c r="D93" s="8"/>
      <c r="E93" s="1004" t="s">
        <v>758</v>
      </c>
      <c r="F93" s="1004"/>
      <c r="G93" s="1004"/>
      <c r="H93" s="1004"/>
      <c r="K93" s="1004" t="s">
        <v>794</v>
      </c>
      <c r="L93" s="1004"/>
      <c r="M93" s="1004"/>
    </row>
  </sheetData>
  <mergeCells count="82">
    <mergeCell ref="A2:M2"/>
    <mergeCell ref="A3:M3"/>
    <mergeCell ref="C5:I5"/>
    <mergeCell ref="A9:F9"/>
    <mergeCell ref="G9:J9"/>
    <mergeCell ref="K9:M9"/>
    <mergeCell ref="L69:M69"/>
    <mergeCell ref="A57:M57"/>
    <mergeCell ref="A58:M58"/>
    <mergeCell ref="C61:I61"/>
    <mergeCell ref="F66:G66"/>
    <mergeCell ref="H66:I66"/>
    <mergeCell ref="J66:K66"/>
    <mergeCell ref="L66:M66"/>
    <mergeCell ref="F67:G67"/>
    <mergeCell ref="H67:I67"/>
    <mergeCell ref="J67:K67"/>
    <mergeCell ref="L67:M67"/>
    <mergeCell ref="L68:M68"/>
    <mergeCell ref="F70:G70"/>
    <mergeCell ref="H70:I70"/>
    <mergeCell ref="J70:K70"/>
    <mergeCell ref="L70:M70"/>
    <mergeCell ref="F71:G71"/>
    <mergeCell ref="H71:I71"/>
    <mergeCell ref="J71:K71"/>
    <mergeCell ref="L71:M71"/>
    <mergeCell ref="F72:G72"/>
    <mergeCell ref="H72:I72"/>
    <mergeCell ref="J72:K72"/>
    <mergeCell ref="L72:M72"/>
    <mergeCell ref="F73:G73"/>
    <mergeCell ref="H73:I73"/>
    <mergeCell ref="J73:K73"/>
    <mergeCell ref="L73:M73"/>
    <mergeCell ref="F74:G74"/>
    <mergeCell ref="H74:I74"/>
    <mergeCell ref="J74:K74"/>
    <mergeCell ref="L74:M74"/>
    <mergeCell ref="F75:G75"/>
    <mergeCell ref="H75:I75"/>
    <mergeCell ref="J75:K75"/>
    <mergeCell ref="L75:M75"/>
    <mergeCell ref="F76:G76"/>
    <mergeCell ref="H76:I76"/>
    <mergeCell ref="J76:K76"/>
    <mergeCell ref="L76:M76"/>
    <mergeCell ref="F77:G77"/>
    <mergeCell ref="H77:I77"/>
    <mergeCell ref="J77:K77"/>
    <mergeCell ref="L77:M77"/>
    <mergeCell ref="F78:G78"/>
    <mergeCell ref="H78:I78"/>
    <mergeCell ref="J78:K78"/>
    <mergeCell ref="L78:M78"/>
    <mergeCell ref="F79:G79"/>
    <mergeCell ref="H79:I79"/>
    <mergeCell ref="J79:K79"/>
    <mergeCell ref="L79:M79"/>
    <mergeCell ref="H80:I80"/>
    <mergeCell ref="J80:K80"/>
    <mergeCell ref="L80:M80"/>
    <mergeCell ref="F81:G81"/>
    <mergeCell ref="H81:I81"/>
    <mergeCell ref="J81:K81"/>
    <mergeCell ref="L81:M81"/>
    <mergeCell ref="L82:M82"/>
    <mergeCell ref="H83:I83"/>
    <mergeCell ref="J83:K83"/>
    <mergeCell ref="L83:M83"/>
    <mergeCell ref="H85:I85"/>
    <mergeCell ref="J85:K85"/>
    <mergeCell ref="L85:M85"/>
    <mergeCell ref="E93:H93"/>
    <mergeCell ref="K93:M93"/>
    <mergeCell ref="H87:I87"/>
    <mergeCell ref="J87:K87"/>
    <mergeCell ref="L87:M87"/>
    <mergeCell ref="E90:H90"/>
    <mergeCell ref="K90:M90"/>
    <mergeCell ref="E92:H92"/>
    <mergeCell ref="K92:M9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D410-8DE1-4AFD-8F90-B92B3985F534}">
  <dimension ref="A1:EJ969"/>
  <sheetViews>
    <sheetView workbookViewId="0">
      <selection activeCell="F19" sqref="F19"/>
    </sheetView>
  </sheetViews>
  <sheetFormatPr baseColWidth="10" defaultRowHeight="15"/>
  <cols>
    <col min="1" max="1" width="11.5703125" bestFit="1" customWidth="1"/>
    <col min="2" max="2" width="37.85546875" bestFit="1" customWidth="1"/>
    <col min="3" max="3" width="16" customWidth="1"/>
    <col min="4" max="4" width="14.42578125" customWidth="1"/>
    <col min="5" max="5" width="11.5703125" bestFit="1" customWidth="1"/>
    <col min="6" max="6" width="22" bestFit="1" customWidth="1"/>
    <col min="7" max="8" width="11.5703125" bestFit="1" customWidth="1"/>
    <col min="9" max="9" width="14.85546875" customWidth="1"/>
    <col min="10" max="10" width="11.5703125" bestFit="1" customWidth="1"/>
    <col min="11" max="11" width="22" bestFit="1" customWidth="1"/>
    <col min="12" max="12" width="20.28515625" bestFit="1" customWidth="1"/>
    <col min="13" max="13" width="22" bestFit="1" customWidth="1"/>
    <col min="14" max="14" width="17.42578125" bestFit="1" customWidth="1"/>
  </cols>
  <sheetData>
    <row r="1" spans="1:14">
      <c r="A1" s="155"/>
      <c r="B1" s="1004" t="s">
        <v>0</v>
      </c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</row>
    <row r="2" spans="1:14">
      <c r="A2" s="155"/>
      <c r="B2" s="1005" t="s">
        <v>1</v>
      </c>
      <c r="C2" s="1005"/>
      <c r="D2" s="1005"/>
      <c r="E2" s="1005"/>
      <c r="F2" s="1005"/>
      <c r="G2" s="1005"/>
      <c r="H2" s="1005"/>
      <c r="I2" s="1005"/>
      <c r="J2" s="1005"/>
      <c r="K2" s="1005"/>
      <c r="L2" s="1005"/>
      <c r="M2" s="1005"/>
    </row>
    <row r="3" spans="1:14">
      <c r="A3" s="155"/>
      <c r="B3" s="2"/>
      <c r="C3" s="2"/>
      <c r="D3" s="2"/>
      <c r="E3" s="2"/>
      <c r="F3" s="614"/>
      <c r="G3" s="2"/>
      <c r="H3" s="2"/>
      <c r="I3" s="2"/>
      <c r="J3" s="2"/>
      <c r="K3" s="2"/>
      <c r="L3" s="2"/>
      <c r="M3" s="615" t="s">
        <v>569</v>
      </c>
    </row>
    <row r="4" spans="1:14">
      <c r="A4" s="155"/>
      <c r="B4" s="269" t="s">
        <v>2</v>
      </c>
      <c r="C4" s="1032" t="s">
        <v>570</v>
      </c>
      <c r="D4" s="1032"/>
      <c r="E4" s="1032"/>
      <c r="F4" s="1032"/>
      <c r="G4" s="1032"/>
      <c r="H4" s="1032"/>
      <c r="I4" s="1032"/>
      <c r="J4" s="3"/>
      <c r="K4" s="3"/>
      <c r="L4" s="4" t="s">
        <v>4</v>
      </c>
      <c r="M4" s="616" t="s">
        <v>571</v>
      </c>
    </row>
    <row r="5" spans="1:14">
      <c r="A5" s="155"/>
      <c r="B5" s="4" t="s">
        <v>5</v>
      </c>
      <c r="C5" s="7">
        <v>4</v>
      </c>
      <c r="D5" s="154"/>
      <c r="E5" s="8"/>
      <c r="F5" s="4"/>
      <c r="G5" s="8"/>
      <c r="H5" s="3"/>
      <c r="I5" s="617"/>
      <c r="J5" s="3"/>
      <c r="K5" s="3"/>
      <c r="L5" s="4" t="s">
        <v>6</v>
      </c>
      <c r="M5" s="6">
        <v>12379572.51</v>
      </c>
    </row>
    <row r="6" spans="1:14">
      <c r="A6" s="155"/>
      <c r="B6" s="4" t="s">
        <v>7</v>
      </c>
      <c r="C6" s="1120">
        <v>45539</v>
      </c>
      <c r="D6" s="1120"/>
      <c r="E6" s="1120"/>
      <c r="F6" s="4"/>
      <c r="G6" s="11"/>
      <c r="H6" s="3"/>
      <c r="I6" s="3"/>
      <c r="J6" s="3"/>
      <c r="K6" s="3"/>
      <c r="L6" s="4" t="s">
        <v>9</v>
      </c>
      <c r="M6" s="13" t="s">
        <v>572</v>
      </c>
    </row>
    <row r="7" spans="1:14">
      <c r="A7" s="155"/>
      <c r="B7" s="4" t="s">
        <v>11</v>
      </c>
      <c r="C7" s="8" t="s">
        <v>573</v>
      </c>
      <c r="D7" s="1"/>
      <c r="E7" s="8"/>
      <c r="F7" s="4"/>
      <c r="G7" s="8"/>
      <c r="H7" s="618"/>
      <c r="I7" s="3"/>
      <c r="J7" s="1121"/>
      <c r="K7" s="1121"/>
      <c r="L7" s="3"/>
      <c r="M7" s="3"/>
    </row>
    <row r="8" spans="1:14">
      <c r="A8" s="1117" t="s">
        <v>13</v>
      </c>
      <c r="B8" s="1117"/>
      <c r="C8" s="1117"/>
      <c r="D8" s="1117"/>
      <c r="E8" s="1117"/>
      <c r="F8" s="1117"/>
      <c r="G8" s="1118" t="s">
        <v>14</v>
      </c>
      <c r="H8" s="1118"/>
      <c r="I8" s="1118"/>
      <c r="J8" s="1118"/>
      <c r="K8" s="1119" t="s">
        <v>15</v>
      </c>
      <c r="L8" s="1119"/>
      <c r="M8" s="1119"/>
    </row>
    <row r="9" spans="1:14">
      <c r="A9" s="619" t="s">
        <v>16</v>
      </c>
      <c r="B9" s="620" t="s">
        <v>17</v>
      </c>
      <c r="C9" s="620" t="s">
        <v>19</v>
      </c>
      <c r="D9" s="620" t="s">
        <v>18</v>
      </c>
      <c r="E9" s="621" t="s">
        <v>20</v>
      </c>
      <c r="F9" s="622" t="s">
        <v>21</v>
      </c>
      <c r="G9" s="623" t="s">
        <v>22</v>
      </c>
      <c r="H9" s="623" t="s">
        <v>23</v>
      </c>
      <c r="I9" s="624" t="s">
        <v>24</v>
      </c>
      <c r="J9" s="625" t="s">
        <v>25</v>
      </c>
      <c r="K9" s="626" t="s">
        <v>22</v>
      </c>
      <c r="L9" s="627" t="s">
        <v>23</v>
      </c>
      <c r="M9" s="627" t="s">
        <v>24</v>
      </c>
    </row>
    <row r="10" spans="1:14">
      <c r="A10" s="628">
        <v>1</v>
      </c>
      <c r="B10" s="301" t="s">
        <v>574</v>
      </c>
      <c r="C10" s="315"/>
      <c r="D10" s="629"/>
      <c r="E10" s="630"/>
      <c r="F10" s="631"/>
      <c r="G10" s="632"/>
      <c r="H10" s="632"/>
      <c r="I10" s="633"/>
      <c r="J10" s="634"/>
      <c r="K10" s="635"/>
      <c r="L10" s="636"/>
      <c r="M10" s="636"/>
    </row>
    <row r="11" spans="1:14">
      <c r="A11" s="637">
        <v>1.01</v>
      </c>
      <c r="B11" s="315" t="s">
        <v>575</v>
      </c>
      <c r="C11" s="638">
        <v>4468</v>
      </c>
      <c r="D11" s="639" t="s">
        <v>189</v>
      </c>
      <c r="E11" s="640">
        <v>63.38</v>
      </c>
      <c r="F11" s="641">
        <f>C11*E11</f>
        <v>283181.84000000003</v>
      </c>
      <c r="G11" s="632">
        <v>4468</v>
      </c>
      <c r="H11" s="632"/>
      <c r="I11" s="642">
        <f>G11+H11</f>
        <v>4468</v>
      </c>
      <c r="J11" s="643">
        <f>I11/C11</f>
        <v>1</v>
      </c>
      <c r="K11" s="636">
        <f>G11*E11</f>
        <v>283181.84000000003</v>
      </c>
      <c r="L11" s="636">
        <f>H11*E11</f>
        <v>0</v>
      </c>
      <c r="M11" s="636">
        <f>K11+L11</f>
        <v>283181.84000000003</v>
      </c>
      <c r="N11" s="644"/>
    </row>
    <row r="12" spans="1:14">
      <c r="A12" s="637">
        <v>1.02</v>
      </c>
      <c r="B12" s="315" t="s">
        <v>576</v>
      </c>
      <c r="C12" s="645">
        <v>975</v>
      </c>
      <c r="D12" s="639" t="s">
        <v>189</v>
      </c>
      <c r="E12" s="646">
        <v>175.32</v>
      </c>
      <c r="F12" s="641">
        <f t="shared" ref="F12:F14" si="0">C12*E12</f>
        <v>170937</v>
      </c>
      <c r="G12" s="632">
        <v>975</v>
      </c>
      <c r="H12" s="632"/>
      <c r="I12" s="642">
        <f t="shared" ref="I12:I14" si="1">G12+H12</f>
        <v>975</v>
      </c>
      <c r="J12" s="643">
        <f t="shared" ref="J12:J14" si="2">I12/C12</f>
        <v>1</v>
      </c>
      <c r="K12" s="636">
        <f t="shared" ref="K12:K14" si="3">G12*E12</f>
        <v>170937</v>
      </c>
      <c r="L12" s="636">
        <f>H12*E12</f>
        <v>0</v>
      </c>
      <c r="M12" s="636">
        <f t="shared" ref="M12:M14" si="4">K12+L12</f>
        <v>170937</v>
      </c>
      <c r="N12" s="644"/>
    </row>
    <row r="13" spans="1:14">
      <c r="A13" s="637">
        <v>1.03</v>
      </c>
      <c r="B13" s="315" t="s">
        <v>577</v>
      </c>
      <c r="C13" s="645">
        <v>975</v>
      </c>
      <c r="D13" s="639" t="s">
        <v>189</v>
      </c>
      <c r="E13" s="646">
        <v>108.78</v>
      </c>
      <c r="F13" s="641">
        <f t="shared" si="0"/>
        <v>106060.5</v>
      </c>
      <c r="G13" s="632">
        <v>975</v>
      </c>
      <c r="H13" s="632"/>
      <c r="I13" s="642">
        <f t="shared" si="1"/>
        <v>975</v>
      </c>
      <c r="J13" s="643">
        <f t="shared" si="2"/>
        <v>1</v>
      </c>
      <c r="K13" s="636">
        <f t="shared" si="3"/>
        <v>106060.5</v>
      </c>
      <c r="L13" s="636">
        <f>H13*E13</f>
        <v>0</v>
      </c>
      <c r="M13" s="636">
        <f t="shared" si="4"/>
        <v>106060.5</v>
      </c>
      <c r="N13" s="644"/>
    </row>
    <row r="14" spans="1:14">
      <c r="A14" s="637">
        <v>1.04</v>
      </c>
      <c r="B14" s="315" t="s">
        <v>578</v>
      </c>
      <c r="C14" s="645">
        <v>134</v>
      </c>
      <c r="D14" s="639" t="s">
        <v>30</v>
      </c>
      <c r="E14" s="646">
        <v>1267.28</v>
      </c>
      <c r="F14" s="641">
        <f t="shared" si="0"/>
        <v>169815.52</v>
      </c>
      <c r="G14" s="632">
        <v>134</v>
      </c>
      <c r="H14" s="632"/>
      <c r="I14" s="642">
        <f t="shared" si="1"/>
        <v>134</v>
      </c>
      <c r="J14" s="643">
        <f t="shared" si="2"/>
        <v>1</v>
      </c>
      <c r="K14" s="636">
        <f t="shared" si="3"/>
        <v>169815.52</v>
      </c>
      <c r="L14" s="636">
        <f>H14*E14</f>
        <v>0</v>
      </c>
      <c r="M14" s="636">
        <f t="shared" si="4"/>
        <v>169815.52</v>
      </c>
      <c r="N14" s="644"/>
    </row>
    <row r="15" spans="1:14">
      <c r="A15" s="647"/>
      <c r="B15" s="301" t="s">
        <v>44</v>
      </c>
      <c r="C15" s="648"/>
      <c r="D15" s="649"/>
      <c r="E15" s="650"/>
      <c r="F15" s="651">
        <f>SUM(F11:F14)</f>
        <v>729994.8600000001</v>
      </c>
      <c r="G15" s="632"/>
      <c r="H15" s="632"/>
      <c r="I15" s="642"/>
      <c r="J15" s="652"/>
      <c r="K15" s="653">
        <f>SUM(K11:K14)</f>
        <v>729994.8600000001</v>
      </c>
      <c r="L15" s="653">
        <f t="shared" ref="L15:M15" si="5">SUBTOTAL(9,L11:L14)</f>
        <v>0</v>
      </c>
      <c r="M15" s="653">
        <f t="shared" si="5"/>
        <v>729994.8600000001</v>
      </c>
      <c r="N15" s="644"/>
    </row>
    <row r="16" spans="1:14">
      <c r="A16" s="628">
        <v>2</v>
      </c>
      <c r="B16" s="301" t="s">
        <v>579</v>
      </c>
      <c r="C16" s="629"/>
      <c r="D16" s="639"/>
      <c r="E16" s="630"/>
      <c r="F16" s="631"/>
      <c r="G16" s="632"/>
      <c r="H16" s="632"/>
      <c r="I16" s="642"/>
      <c r="J16" s="652"/>
      <c r="K16" s="636"/>
      <c r="L16" s="636"/>
      <c r="M16" s="636"/>
      <c r="N16" s="644"/>
    </row>
    <row r="17" spans="1:14" ht="26.25">
      <c r="A17" s="654">
        <v>2.0099999999999998</v>
      </c>
      <c r="B17" s="315" t="s">
        <v>580</v>
      </c>
      <c r="C17" s="645">
        <v>146.30000000000001</v>
      </c>
      <c r="D17" s="639" t="s">
        <v>38</v>
      </c>
      <c r="E17" s="640">
        <v>650.19000000000005</v>
      </c>
      <c r="F17" s="641">
        <f>C17*E17</f>
        <v>95122.79700000002</v>
      </c>
      <c r="G17" s="632">
        <v>146.30000000000001</v>
      </c>
      <c r="H17" s="632"/>
      <c r="I17" s="642">
        <f>G17+H17</f>
        <v>146.30000000000001</v>
      </c>
      <c r="J17" s="643">
        <f>I17/C17</f>
        <v>1</v>
      </c>
      <c r="K17" s="636">
        <f>G17*E17</f>
        <v>95122.79700000002</v>
      </c>
      <c r="L17" s="636">
        <f t="shared" ref="L17:L22" si="6">H17*E17</f>
        <v>0</v>
      </c>
      <c r="M17" s="636">
        <f>K17+L17</f>
        <v>95122.79700000002</v>
      </c>
      <c r="N17" s="644"/>
    </row>
    <row r="18" spans="1:14">
      <c r="A18" s="654">
        <v>2.02</v>
      </c>
      <c r="B18" s="315" t="s">
        <v>581</v>
      </c>
      <c r="C18" s="645">
        <v>190.19</v>
      </c>
      <c r="D18" s="639" t="s">
        <v>582</v>
      </c>
      <c r="E18" s="655">
        <v>279.27999999999997</v>
      </c>
      <c r="F18" s="641">
        <f t="shared" ref="F18" si="7">C18*E18</f>
        <v>53116.263199999994</v>
      </c>
      <c r="G18" s="632">
        <v>190.19</v>
      </c>
      <c r="H18" s="632"/>
      <c r="I18" s="642">
        <f t="shared" ref="I18:I19" si="8">G18+H18</f>
        <v>190.19</v>
      </c>
      <c r="J18" s="643">
        <f t="shared" ref="J18:J19" si="9">I18/C18</f>
        <v>1</v>
      </c>
      <c r="K18" s="636">
        <f t="shared" ref="K18:K19" si="10">G18*E18</f>
        <v>53116.263199999994</v>
      </c>
      <c r="L18" s="636">
        <f t="shared" si="6"/>
        <v>0</v>
      </c>
      <c r="M18" s="636">
        <f>K18+L18</f>
        <v>53116.263199999994</v>
      </c>
      <c r="N18" s="644"/>
    </row>
    <row r="19" spans="1:14">
      <c r="A19" s="637">
        <v>2.0299999999999998</v>
      </c>
      <c r="B19" s="310" t="s">
        <v>583</v>
      </c>
      <c r="C19" s="645">
        <v>355.5</v>
      </c>
      <c r="D19" s="639" t="s">
        <v>584</v>
      </c>
      <c r="E19" s="655">
        <v>658.8</v>
      </c>
      <c r="F19" s="641">
        <f>C19*E19</f>
        <v>234203.4</v>
      </c>
      <c r="G19" s="632">
        <v>355.5</v>
      </c>
      <c r="H19" s="632"/>
      <c r="I19" s="642">
        <f t="shared" si="8"/>
        <v>355.5</v>
      </c>
      <c r="J19" s="643">
        <f t="shared" si="9"/>
        <v>1</v>
      </c>
      <c r="K19" s="636">
        <f t="shared" si="10"/>
        <v>234203.4</v>
      </c>
      <c r="L19" s="636">
        <f t="shared" si="6"/>
        <v>0</v>
      </c>
      <c r="M19" s="636">
        <f>K19+L19</f>
        <v>234203.4</v>
      </c>
      <c r="N19" s="644"/>
    </row>
    <row r="20" spans="1:14">
      <c r="A20" s="656"/>
      <c r="B20" s="301" t="s">
        <v>44</v>
      </c>
      <c r="C20" s="649"/>
      <c r="D20" s="649"/>
      <c r="E20" s="650"/>
      <c r="F20" s="651">
        <f>SUM(F17:F19)</f>
        <v>382442.46019999997</v>
      </c>
      <c r="G20" s="632"/>
      <c r="H20" s="632"/>
      <c r="I20" s="642"/>
      <c r="J20" s="652"/>
      <c r="K20" s="657">
        <f>SUM(K17:K19)</f>
        <v>382442.46019999997</v>
      </c>
      <c r="L20" s="657">
        <f t="shared" ref="L20:M20" si="11">+SUBTOTAL(9,L17:L19)</f>
        <v>0</v>
      </c>
      <c r="M20" s="657">
        <f t="shared" si="11"/>
        <v>382442.46019999997</v>
      </c>
      <c r="N20" s="644"/>
    </row>
    <row r="21" spans="1:14">
      <c r="A21" s="628">
        <v>3</v>
      </c>
      <c r="B21" s="306" t="s">
        <v>585</v>
      </c>
      <c r="C21" s="629"/>
      <c r="D21" s="639"/>
      <c r="E21" s="630"/>
      <c r="F21" s="631"/>
      <c r="G21" s="632"/>
      <c r="H21" s="632"/>
      <c r="I21" s="642"/>
      <c r="J21" s="652"/>
      <c r="K21" s="658"/>
      <c r="L21" s="636"/>
      <c r="M21" s="636"/>
      <c r="N21" s="644"/>
    </row>
    <row r="22" spans="1:14">
      <c r="A22" s="637">
        <v>3.01</v>
      </c>
      <c r="B22" s="659" t="s">
        <v>586</v>
      </c>
      <c r="C22" s="660">
        <v>16.2</v>
      </c>
      <c r="D22" s="661" t="s">
        <v>38</v>
      </c>
      <c r="E22" s="662">
        <v>11367.62</v>
      </c>
      <c r="F22" s="641">
        <f>C22*E22</f>
        <v>184155.44400000002</v>
      </c>
      <c r="G22" s="632">
        <v>16.2</v>
      </c>
      <c r="H22" s="632"/>
      <c r="I22" s="642">
        <f t="shared" ref="I22" si="12">G22+H22</f>
        <v>16.2</v>
      </c>
      <c r="J22" s="643">
        <f t="shared" ref="J22" si="13">I22/C22</f>
        <v>1</v>
      </c>
      <c r="K22" s="636">
        <f t="shared" ref="K22" si="14">G22*E22</f>
        <v>184155.44400000002</v>
      </c>
      <c r="L22" s="636">
        <f t="shared" si="6"/>
        <v>0</v>
      </c>
      <c r="M22" s="636">
        <f t="shared" ref="M22" si="15">K22+L22</f>
        <v>184155.44400000002</v>
      </c>
      <c r="N22" s="644"/>
    </row>
    <row r="23" spans="1:14">
      <c r="A23" s="637"/>
      <c r="B23" s="663" t="s">
        <v>44</v>
      </c>
      <c r="C23" s="664"/>
      <c r="D23" s="665"/>
      <c r="E23" s="666"/>
      <c r="F23" s="667">
        <f>F22</f>
        <v>184155.44400000002</v>
      </c>
      <c r="G23" s="632"/>
      <c r="H23" s="632"/>
      <c r="I23" s="642"/>
      <c r="J23" s="652"/>
      <c r="K23" s="657">
        <f t="shared" ref="K23:M23" si="16">+SUBTOTAL(9,K22)</f>
        <v>184155.44400000002</v>
      </c>
      <c r="L23" s="657">
        <f t="shared" si="16"/>
        <v>0</v>
      </c>
      <c r="M23" s="657">
        <f t="shared" si="16"/>
        <v>184155.44400000002</v>
      </c>
      <c r="N23" s="644"/>
    </row>
    <row r="24" spans="1:14">
      <c r="A24" s="628" t="s">
        <v>185</v>
      </c>
      <c r="B24" s="663" t="s">
        <v>587</v>
      </c>
      <c r="C24" s="660"/>
      <c r="D24" s="661"/>
      <c r="E24" s="662"/>
      <c r="F24" s="668"/>
      <c r="G24" s="632"/>
      <c r="H24" s="632"/>
      <c r="I24" s="642"/>
      <c r="J24" s="652"/>
      <c r="K24" s="658"/>
      <c r="L24" s="636"/>
      <c r="M24" s="636"/>
      <c r="N24" s="644"/>
    </row>
    <row r="25" spans="1:14">
      <c r="A25" s="628">
        <v>1</v>
      </c>
      <c r="B25" s="663" t="s">
        <v>585</v>
      </c>
      <c r="C25" s="660"/>
      <c r="D25" s="661"/>
      <c r="E25" s="662"/>
      <c r="F25" s="668"/>
      <c r="G25" s="632"/>
      <c r="H25" s="632"/>
      <c r="I25" s="642"/>
      <c r="J25" s="652"/>
      <c r="K25" s="658"/>
      <c r="L25" s="636"/>
      <c r="M25" s="636"/>
      <c r="N25" s="644"/>
    </row>
    <row r="26" spans="1:14">
      <c r="A26" s="637">
        <v>1.01</v>
      </c>
      <c r="B26" s="659" t="s">
        <v>588</v>
      </c>
      <c r="C26" s="660">
        <v>23.33</v>
      </c>
      <c r="D26" s="661" t="s">
        <v>38</v>
      </c>
      <c r="E26" s="662">
        <v>28921.24</v>
      </c>
      <c r="F26" s="641">
        <f>C26*E26</f>
        <v>674732.52919999999</v>
      </c>
      <c r="G26" s="632">
        <v>23.33</v>
      </c>
      <c r="H26" s="632"/>
      <c r="I26" s="642">
        <f>G26+H26</f>
        <v>23.33</v>
      </c>
      <c r="J26" s="643">
        <f t="shared" ref="J26:J32" si="17">I26/C26</f>
        <v>1</v>
      </c>
      <c r="K26" s="636">
        <f t="shared" ref="K26:K32" si="18">G26*E26</f>
        <v>674732.52919999999</v>
      </c>
      <c r="L26" s="636">
        <f t="shared" ref="L26:L32" si="19">H26*E26</f>
        <v>0</v>
      </c>
      <c r="M26" s="636">
        <f t="shared" ref="M26:M32" si="20">K26+L26</f>
        <v>674732.52919999999</v>
      </c>
      <c r="N26" s="644"/>
    </row>
    <row r="27" spans="1:14">
      <c r="A27" s="637">
        <v>1.02</v>
      </c>
      <c r="B27" s="659" t="s">
        <v>589</v>
      </c>
      <c r="C27" s="660">
        <v>36</v>
      </c>
      <c r="D27" s="661" t="s">
        <v>38</v>
      </c>
      <c r="E27" s="662">
        <v>17130.810000000001</v>
      </c>
      <c r="F27" s="641">
        <f t="shared" ref="F27:F32" si="21">C27*E27</f>
        <v>616709.16</v>
      </c>
      <c r="G27" s="632">
        <v>36</v>
      </c>
      <c r="H27" s="632"/>
      <c r="I27" s="642">
        <f t="shared" ref="I27:I32" si="22">G27+H27</f>
        <v>36</v>
      </c>
      <c r="J27" s="643">
        <f t="shared" si="17"/>
        <v>1</v>
      </c>
      <c r="K27" s="636">
        <f t="shared" si="18"/>
        <v>616709.16</v>
      </c>
      <c r="L27" s="636">
        <f t="shared" si="19"/>
        <v>0</v>
      </c>
      <c r="M27" s="636">
        <f t="shared" si="20"/>
        <v>616709.16</v>
      </c>
      <c r="N27" s="644"/>
    </row>
    <row r="28" spans="1:14">
      <c r="A28" s="637">
        <v>1.03</v>
      </c>
      <c r="B28" s="659" t="s">
        <v>590</v>
      </c>
      <c r="C28" s="660">
        <v>107.53</v>
      </c>
      <c r="D28" s="661" t="s">
        <v>38</v>
      </c>
      <c r="E28" s="662">
        <v>19346.84</v>
      </c>
      <c r="F28" s="641">
        <f t="shared" si="21"/>
        <v>2080365.7052</v>
      </c>
      <c r="G28" s="632">
        <v>107.53</v>
      </c>
      <c r="H28" s="632"/>
      <c r="I28" s="642">
        <f t="shared" si="22"/>
        <v>107.53</v>
      </c>
      <c r="J28" s="643">
        <f t="shared" si="17"/>
        <v>1</v>
      </c>
      <c r="K28" s="636">
        <f t="shared" si="18"/>
        <v>2080365.7052</v>
      </c>
      <c r="L28" s="636">
        <f t="shared" si="19"/>
        <v>0</v>
      </c>
      <c r="M28" s="636">
        <f t="shared" si="20"/>
        <v>2080365.7052</v>
      </c>
      <c r="N28" s="644"/>
    </row>
    <row r="29" spans="1:14">
      <c r="A29" s="637">
        <v>1.04</v>
      </c>
      <c r="B29" s="659" t="s">
        <v>591</v>
      </c>
      <c r="C29" s="660">
        <v>32.130000000000003</v>
      </c>
      <c r="D29" s="661" t="s">
        <v>38</v>
      </c>
      <c r="E29" s="662">
        <v>29188.959999999999</v>
      </c>
      <c r="F29" s="641">
        <f t="shared" si="21"/>
        <v>937841.28480000002</v>
      </c>
      <c r="G29" s="632">
        <v>32.130000000000003</v>
      </c>
      <c r="H29" s="632"/>
      <c r="I29" s="642">
        <f t="shared" si="22"/>
        <v>32.130000000000003</v>
      </c>
      <c r="J29" s="643">
        <f t="shared" si="17"/>
        <v>1</v>
      </c>
      <c r="K29" s="636">
        <f t="shared" si="18"/>
        <v>937841.28480000002</v>
      </c>
      <c r="L29" s="636">
        <f t="shared" si="19"/>
        <v>0</v>
      </c>
      <c r="M29" s="636">
        <f t="shared" si="20"/>
        <v>937841.28480000002</v>
      </c>
      <c r="N29" s="644"/>
    </row>
    <row r="30" spans="1:14">
      <c r="A30" s="637">
        <v>1.05</v>
      </c>
      <c r="B30" s="659" t="s">
        <v>592</v>
      </c>
      <c r="C30" s="660">
        <v>2.38</v>
      </c>
      <c r="D30" s="661" t="s">
        <v>38</v>
      </c>
      <c r="E30" s="662">
        <v>43456.03</v>
      </c>
      <c r="F30" s="641">
        <f t="shared" si="21"/>
        <v>103425.3514</v>
      </c>
      <c r="G30" s="632">
        <v>2.38</v>
      </c>
      <c r="H30" s="632"/>
      <c r="I30" s="642">
        <f t="shared" si="22"/>
        <v>2.38</v>
      </c>
      <c r="J30" s="643">
        <f t="shared" si="17"/>
        <v>1</v>
      </c>
      <c r="K30" s="636">
        <f t="shared" si="18"/>
        <v>103425.3514</v>
      </c>
      <c r="L30" s="636">
        <f t="shared" si="19"/>
        <v>0</v>
      </c>
      <c r="M30" s="636">
        <f t="shared" si="20"/>
        <v>103425.3514</v>
      </c>
      <c r="N30" s="644"/>
    </row>
    <row r="31" spans="1:14">
      <c r="A31" s="637">
        <v>1.06</v>
      </c>
      <c r="B31" s="307" t="s">
        <v>593</v>
      </c>
      <c r="C31" s="645">
        <v>191.71</v>
      </c>
      <c r="D31" s="639" t="s">
        <v>38</v>
      </c>
      <c r="E31" s="669">
        <v>21597.32</v>
      </c>
      <c r="F31" s="641">
        <f t="shared" si="21"/>
        <v>4140422.2172000003</v>
      </c>
      <c r="G31" s="632">
        <v>191.71</v>
      </c>
      <c r="H31" s="632"/>
      <c r="I31" s="642">
        <f t="shared" si="22"/>
        <v>191.71</v>
      </c>
      <c r="J31" s="643">
        <f t="shared" si="17"/>
        <v>1</v>
      </c>
      <c r="K31" s="636">
        <f t="shared" si="18"/>
        <v>4140422.2172000003</v>
      </c>
      <c r="L31" s="636">
        <f t="shared" si="19"/>
        <v>0</v>
      </c>
      <c r="M31" s="636">
        <f t="shared" si="20"/>
        <v>4140422.2172000003</v>
      </c>
      <c r="N31" s="644"/>
    </row>
    <row r="32" spans="1:14">
      <c r="A32" s="637">
        <v>1.07</v>
      </c>
      <c r="B32" s="659" t="s">
        <v>594</v>
      </c>
      <c r="C32" s="660">
        <v>61.16</v>
      </c>
      <c r="D32" s="661" t="s">
        <v>38</v>
      </c>
      <c r="E32" s="662">
        <v>24931.97</v>
      </c>
      <c r="F32" s="641">
        <f t="shared" si="21"/>
        <v>1524839.2852</v>
      </c>
      <c r="G32" s="632">
        <v>61.16</v>
      </c>
      <c r="H32" s="632"/>
      <c r="I32" s="642">
        <f t="shared" si="22"/>
        <v>61.16</v>
      </c>
      <c r="J32" s="643">
        <f t="shared" si="17"/>
        <v>1</v>
      </c>
      <c r="K32" s="636">
        <f t="shared" si="18"/>
        <v>1524839.2852</v>
      </c>
      <c r="L32" s="636">
        <f t="shared" si="19"/>
        <v>0</v>
      </c>
      <c r="M32" s="636">
        <f t="shared" si="20"/>
        <v>1524839.2852</v>
      </c>
      <c r="N32" s="644"/>
    </row>
    <row r="33" spans="1:14">
      <c r="A33" s="637"/>
      <c r="B33" s="663" t="s">
        <v>44</v>
      </c>
      <c r="C33" s="664">
        <f>SUM(C22:C32)</f>
        <v>470.43999999999994</v>
      </c>
      <c r="D33" s="665"/>
      <c r="E33" s="666"/>
      <c r="F33" s="667">
        <f>SUM(F26:F32)</f>
        <v>10078335.533</v>
      </c>
      <c r="G33" s="632"/>
      <c r="H33" s="632"/>
      <c r="I33" s="642"/>
      <c r="J33" s="652"/>
      <c r="K33" s="657">
        <f>SUM(K26:K32)</f>
        <v>10078335.533</v>
      </c>
      <c r="L33" s="657">
        <f t="shared" ref="L33:M33" si="23">+SUBTOTAL(9,L26:L32)</f>
        <v>0</v>
      </c>
      <c r="M33" s="657">
        <f t="shared" si="23"/>
        <v>10078335.533</v>
      </c>
      <c r="N33" s="644"/>
    </row>
    <row r="34" spans="1:14">
      <c r="A34" s="628">
        <v>2</v>
      </c>
      <c r="B34" s="663" t="s">
        <v>595</v>
      </c>
      <c r="C34" s="660"/>
      <c r="D34" s="661"/>
      <c r="E34" s="662"/>
      <c r="F34" s="668"/>
      <c r="G34" s="632"/>
      <c r="H34" s="632"/>
      <c r="I34" s="642"/>
      <c r="J34" s="652"/>
      <c r="K34" s="658"/>
      <c r="L34" s="636"/>
      <c r="M34" s="636"/>
      <c r="N34" s="644"/>
    </row>
    <row r="35" spans="1:14">
      <c r="A35" s="654">
        <v>2.0099999999999998</v>
      </c>
      <c r="B35" s="659" t="s">
        <v>596</v>
      </c>
      <c r="C35" s="660">
        <v>223.06</v>
      </c>
      <c r="D35" s="661" t="s">
        <v>189</v>
      </c>
      <c r="E35" s="662">
        <v>1479.5</v>
      </c>
      <c r="F35" s="641">
        <f>C35*E35</f>
        <v>330017.27</v>
      </c>
      <c r="G35" s="632">
        <v>223.06</v>
      </c>
      <c r="H35" s="632"/>
      <c r="I35" s="642">
        <f>G35+H35</f>
        <v>223.06</v>
      </c>
      <c r="J35" s="643">
        <f t="shared" ref="J35" si="24">I35/C35</f>
        <v>1</v>
      </c>
      <c r="K35" s="636">
        <f t="shared" ref="K35" si="25">G35*E35</f>
        <v>330017.27</v>
      </c>
      <c r="L35" s="636">
        <f t="shared" ref="L35" si="26">H35*E35</f>
        <v>0</v>
      </c>
      <c r="M35" s="636">
        <f t="shared" ref="M35:M40" si="27">K35+L35</f>
        <v>330017.27</v>
      </c>
      <c r="N35" s="644"/>
    </row>
    <row r="36" spans="1:14">
      <c r="A36" s="637"/>
      <c r="B36" s="663" t="s">
        <v>44</v>
      </c>
      <c r="C36" s="664"/>
      <c r="D36" s="665"/>
      <c r="E36" s="666"/>
      <c r="F36" s="667">
        <f>F35</f>
        <v>330017.27</v>
      </c>
      <c r="G36" s="632"/>
      <c r="H36" s="632"/>
      <c r="I36" s="642"/>
      <c r="J36" s="652"/>
      <c r="K36" s="657">
        <f>SUM(K35)</f>
        <v>330017.27</v>
      </c>
      <c r="L36" s="657">
        <f>+SUBTOTAL(9,L35)</f>
        <v>0</v>
      </c>
      <c r="M36" s="657">
        <f>+SUBTOTAL(9,M35)</f>
        <v>330017.27</v>
      </c>
      <c r="N36" s="644"/>
    </row>
    <row r="37" spans="1:14">
      <c r="A37" s="628">
        <v>3</v>
      </c>
      <c r="B37" s="663" t="s">
        <v>597</v>
      </c>
      <c r="C37" s="660"/>
      <c r="D37" s="661"/>
      <c r="E37" s="662"/>
      <c r="F37" s="668"/>
      <c r="G37" s="632"/>
      <c r="H37" s="632"/>
      <c r="I37" s="642"/>
      <c r="J37" s="652"/>
      <c r="K37" s="658"/>
      <c r="L37" s="636"/>
      <c r="M37" s="636"/>
      <c r="N37" s="644"/>
    </row>
    <row r="38" spans="1:14">
      <c r="A38" s="637">
        <v>3.01</v>
      </c>
      <c r="B38" s="659" t="s">
        <v>598</v>
      </c>
      <c r="C38" s="660">
        <v>992.68</v>
      </c>
      <c r="D38" s="661" t="s">
        <v>189</v>
      </c>
      <c r="E38" s="662">
        <v>64.19</v>
      </c>
      <c r="F38" s="641">
        <f>C38*E38</f>
        <v>63720.129199999996</v>
      </c>
      <c r="G38" s="632">
        <v>992.68</v>
      </c>
      <c r="H38" s="632"/>
      <c r="I38" s="642">
        <f>G38+H38</f>
        <v>992.68</v>
      </c>
      <c r="J38" s="643">
        <f t="shared" ref="J38:J40" si="28">I38/C38</f>
        <v>1</v>
      </c>
      <c r="K38" s="636">
        <f t="shared" ref="K38:K40" si="29">G38*E38</f>
        <v>63720.129199999996</v>
      </c>
      <c r="L38" s="636">
        <f t="shared" ref="L38:L40" si="30">H38*E38</f>
        <v>0</v>
      </c>
      <c r="M38" s="636">
        <f t="shared" si="27"/>
        <v>63720.129199999996</v>
      </c>
      <c r="N38" s="644"/>
    </row>
    <row r="39" spans="1:14" ht="26.25">
      <c r="A39" s="654">
        <v>3.02</v>
      </c>
      <c r="B39" s="659" t="s">
        <v>599</v>
      </c>
      <c r="C39" s="660">
        <v>446.12</v>
      </c>
      <c r="D39" s="661" t="s">
        <v>189</v>
      </c>
      <c r="E39" s="662">
        <v>461.37</v>
      </c>
      <c r="F39" s="641">
        <f t="shared" ref="F39:F40" si="31">C39*E39</f>
        <v>205826.38440000001</v>
      </c>
      <c r="G39" s="632">
        <v>446.12</v>
      </c>
      <c r="H39" s="632"/>
      <c r="I39" s="642">
        <f t="shared" ref="I39:I40" si="32">G39+H39</f>
        <v>446.12</v>
      </c>
      <c r="J39" s="643">
        <f t="shared" si="28"/>
        <v>1</v>
      </c>
      <c r="K39" s="636">
        <f t="shared" si="29"/>
        <v>205826.38440000001</v>
      </c>
      <c r="L39" s="636">
        <f t="shared" si="30"/>
        <v>0</v>
      </c>
      <c r="M39" s="636">
        <f t="shared" si="27"/>
        <v>205826.38440000001</v>
      </c>
      <c r="N39" s="644"/>
    </row>
    <row r="40" spans="1:14">
      <c r="A40" s="637">
        <v>3.03</v>
      </c>
      <c r="B40" s="659" t="s">
        <v>600</v>
      </c>
      <c r="C40" s="660">
        <v>30.77</v>
      </c>
      <c r="D40" s="661" t="s">
        <v>30</v>
      </c>
      <c r="E40" s="662">
        <v>137.16999999999999</v>
      </c>
      <c r="F40" s="641">
        <f t="shared" si="31"/>
        <v>4220.7208999999993</v>
      </c>
      <c r="G40" s="632">
        <v>30.77</v>
      </c>
      <c r="H40" s="632"/>
      <c r="I40" s="642">
        <f t="shared" si="32"/>
        <v>30.77</v>
      </c>
      <c r="J40" s="643">
        <f t="shared" si="28"/>
        <v>1</v>
      </c>
      <c r="K40" s="636">
        <f t="shared" si="29"/>
        <v>4220.7208999999993</v>
      </c>
      <c r="L40" s="636">
        <f t="shared" si="30"/>
        <v>0</v>
      </c>
      <c r="M40" s="636">
        <f t="shared" si="27"/>
        <v>4220.7208999999993</v>
      </c>
      <c r="N40" s="644"/>
    </row>
    <row r="41" spans="1:14">
      <c r="A41" s="637"/>
      <c r="B41" s="663" t="s">
        <v>44</v>
      </c>
      <c r="C41" s="664"/>
      <c r="D41" s="665"/>
      <c r="E41" s="666"/>
      <c r="F41" s="667">
        <f>SUM(F38:F40)</f>
        <v>273767.23450000002</v>
      </c>
      <c r="G41" s="632"/>
      <c r="H41" s="632"/>
      <c r="I41" s="642"/>
      <c r="J41" s="652"/>
      <c r="K41" s="657">
        <f>+SUBTOTAL(9,K38:K40)</f>
        <v>273767.23450000002</v>
      </c>
      <c r="L41" s="657">
        <f>+SUBTOTAL(9,L38:L40)</f>
        <v>0</v>
      </c>
      <c r="M41" s="657">
        <f>+SUBTOTAL(9,M38:M40)</f>
        <v>273767.23450000002</v>
      </c>
      <c r="N41" s="644"/>
    </row>
    <row r="42" spans="1:14">
      <c r="A42" s="628">
        <v>4</v>
      </c>
      <c r="B42" s="663" t="s">
        <v>601</v>
      </c>
      <c r="C42" s="660"/>
      <c r="D42" s="661"/>
      <c r="E42" s="662"/>
      <c r="F42" s="668"/>
      <c r="G42" s="632"/>
      <c r="H42" s="632"/>
      <c r="I42" s="642"/>
      <c r="J42" s="652"/>
      <c r="K42" s="658"/>
      <c r="L42" s="636"/>
      <c r="M42" s="636"/>
      <c r="N42" s="644"/>
    </row>
    <row r="43" spans="1:14">
      <c r="A43" s="637">
        <v>4.01</v>
      </c>
      <c r="B43" s="659" t="s">
        <v>602</v>
      </c>
      <c r="C43" s="660">
        <v>32</v>
      </c>
      <c r="D43" s="661" t="s">
        <v>189</v>
      </c>
      <c r="E43" s="662">
        <v>1798.75</v>
      </c>
      <c r="F43" s="641">
        <f>C43*E43</f>
        <v>57560</v>
      </c>
      <c r="G43" s="632">
        <v>16</v>
      </c>
      <c r="H43" s="632"/>
      <c r="I43" s="642">
        <f>G43+H43</f>
        <v>16</v>
      </c>
      <c r="J43" s="643">
        <f t="shared" ref="J43:J48" si="33">I43/C43</f>
        <v>0.5</v>
      </c>
      <c r="K43" s="658">
        <f>G43*E43</f>
        <v>28780</v>
      </c>
      <c r="L43" s="636">
        <f t="shared" ref="L43:L48" si="34">H43*E43</f>
        <v>0</v>
      </c>
      <c r="M43" s="636">
        <f t="shared" ref="M43:M48" si="35">K43+L43</f>
        <v>28780</v>
      </c>
      <c r="N43" s="644"/>
    </row>
    <row r="44" spans="1:14">
      <c r="A44" s="637">
        <v>4.0199999999999996</v>
      </c>
      <c r="B44" s="659" t="s">
        <v>603</v>
      </c>
      <c r="C44" s="660">
        <v>2.6</v>
      </c>
      <c r="D44" s="661" t="s">
        <v>189</v>
      </c>
      <c r="E44" s="662">
        <v>1748.75</v>
      </c>
      <c r="F44" s="641">
        <f t="shared" ref="F44:F48" si="36">C44*E44</f>
        <v>4546.75</v>
      </c>
      <c r="G44" s="632">
        <v>1.3</v>
      </c>
      <c r="H44" s="632"/>
      <c r="I44" s="642">
        <f t="shared" ref="I44:I47" si="37">G44+H44</f>
        <v>1.3</v>
      </c>
      <c r="J44" s="643">
        <f t="shared" si="33"/>
        <v>0.5</v>
      </c>
      <c r="K44" s="658">
        <f t="shared" ref="K44:K48" si="38">G44*E44</f>
        <v>2273.375</v>
      </c>
      <c r="L44" s="636">
        <f t="shared" si="34"/>
        <v>0</v>
      </c>
      <c r="M44" s="636">
        <f t="shared" si="35"/>
        <v>2273.375</v>
      </c>
      <c r="N44" s="644"/>
    </row>
    <row r="45" spans="1:14">
      <c r="A45" s="637">
        <v>4.03</v>
      </c>
      <c r="B45" s="659" t="s">
        <v>604</v>
      </c>
      <c r="C45" s="660">
        <v>258.33</v>
      </c>
      <c r="D45" s="661" t="s">
        <v>605</v>
      </c>
      <c r="E45" s="662">
        <v>649</v>
      </c>
      <c r="F45" s="641">
        <f t="shared" si="36"/>
        <v>167656.16999999998</v>
      </c>
      <c r="G45" s="632">
        <v>129.16499999999999</v>
      </c>
      <c r="H45" s="632"/>
      <c r="I45" s="642">
        <f t="shared" si="37"/>
        <v>129.16499999999999</v>
      </c>
      <c r="J45" s="643">
        <f t="shared" si="33"/>
        <v>0.5</v>
      </c>
      <c r="K45" s="658">
        <f t="shared" si="38"/>
        <v>83828.084999999992</v>
      </c>
      <c r="L45" s="636">
        <f t="shared" si="34"/>
        <v>0</v>
      </c>
      <c r="M45" s="636">
        <f t="shared" si="35"/>
        <v>83828.084999999992</v>
      </c>
      <c r="N45" s="644"/>
    </row>
    <row r="46" spans="1:14">
      <c r="A46" s="654">
        <v>4.04</v>
      </c>
      <c r="B46" s="659" t="s">
        <v>606</v>
      </c>
      <c r="C46" s="660">
        <v>18</v>
      </c>
      <c r="D46" s="661" t="s">
        <v>189</v>
      </c>
      <c r="E46" s="662">
        <v>6983.24</v>
      </c>
      <c r="F46" s="641">
        <f t="shared" si="36"/>
        <v>125698.31999999999</v>
      </c>
      <c r="G46" s="632">
        <v>9</v>
      </c>
      <c r="H46" s="632"/>
      <c r="I46" s="642">
        <f t="shared" si="37"/>
        <v>9</v>
      </c>
      <c r="J46" s="643">
        <f t="shared" si="33"/>
        <v>0.5</v>
      </c>
      <c r="K46" s="636">
        <f t="shared" si="38"/>
        <v>62849.159999999996</v>
      </c>
      <c r="L46" s="636">
        <f t="shared" si="34"/>
        <v>0</v>
      </c>
      <c r="M46" s="636">
        <f t="shared" si="35"/>
        <v>62849.159999999996</v>
      </c>
      <c r="N46" s="644"/>
    </row>
    <row r="47" spans="1:14">
      <c r="A47" s="637">
        <v>4.05</v>
      </c>
      <c r="B47" s="659" t="s">
        <v>607</v>
      </c>
      <c r="C47" s="660">
        <v>279</v>
      </c>
      <c r="D47" s="661" t="s">
        <v>189</v>
      </c>
      <c r="E47" s="662">
        <v>1282.6300000000001</v>
      </c>
      <c r="F47" s="641">
        <f t="shared" si="36"/>
        <v>357853.77</v>
      </c>
      <c r="G47" s="632">
        <v>139.5</v>
      </c>
      <c r="H47" s="632"/>
      <c r="I47" s="642">
        <f t="shared" si="37"/>
        <v>139.5</v>
      </c>
      <c r="J47" s="643">
        <f t="shared" si="33"/>
        <v>0.5</v>
      </c>
      <c r="K47" s="636">
        <f t="shared" si="38"/>
        <v>178926.88500000001</v>
      </c>
      <c r="L47" s="636">
        <f t="shared" si="34"/>
        <v>0</v>
      </c>
      <c r="M47" s="636">
        <f t="shared" si="35"/>
        <v>178926.88500000001</v>
      </c>
      <c r="N47" s="644"/>
    </row>
    <row r="48" spans="1:14">
      <c r="A48" s="637">
        <v>4.0599999999999996</v>
      </c>
      <c r="B48" s="659" t="s">
        <v>608</v>
      </c>
      <c r="C48" s="660">
        <v>35</v>
      </c>
      <c r="D48" s="661" t="s">
        <v>189</v>
      </c>
      <c r="E48" s="662">
        <v>1441.41</v>
      </c>
      <c r="F48" s="641">
        <f t="shared" si="36"/>
        <v>50449.350000000006</v>
      </c>
      <c r="G48" s="632">
        <v>17.5</v>
      </c>
      <c r="H48" s="632"/>
      <c r="I48" s="642"/>
      <c r="J48" s="643">
        <f t="shared" si="33"/>
        <v>0</v>
      </c>
      <c r="K48" s="636">
        <f t="shared" si="38"/>
        <v>25224.675000000003</v>
      </c>
      <c r="L48" s="636">
        <f t="shared" si="34"/>
        <v>0</v>
      </c>
      <c r="M48" s="636">
        <f t="shared" si="35"/>
        <v>25224.675000000003</v>
      </c>
      <c r="N48" s="644"/>
    </row>
    <row r="49" spans="1:14">
      <c r="A49" s="637"/>
      <c r="B49" s="663" t="s">
        <v>44</v>
      </c>
      <c r="C49" s="664"/>
      <c r="D49" s="665"/>
      <c r="E49" s="666"/>
      <c r="F49" s="667">
        <f>SUM(F43:F48)</f>
        <v>763764.36</v>
      </c>
      <c r="G49" s="632"/>
      <c r="H49" s="632"/>
      <c r="I49" s="642"/>
      <c r="J49" s="652"/>
      <c r="K49" s="657">
        <f>SUM(K43:K48)</f>
        <v>381882.18</v>
      </c>
      <c r="L49" s="657">
        <f>+SUBTOTAL(9,L46:L48)</f>
        <v>0</v>
      </c>
      <c r="M49" s="657">
        <f>+SUBTOTAL(9,M46:M48)</f>
        <v>267000.72000000003</v>
      </c>
      <c r="N49" s="644"/>
    </row>
    <row r="50" spans="1:14">
      <c r="A50" s="628">
        <v>5</v>
      </c>
      <c r="B50" s="663" t="s">
        <v>609</v>
      </c>
      <c r="C50" s="660"/>
      <c r="D50" s="661"/>
      <c r="E50" s="662"/>
      <c r="F50" s="668"/>
      <c r="G50" s="632"/>
      <c r="H50" s="632"/>
      <c r="I50" s="642"/>
      <c r="J50" s="652"/>
      <c r="K50" s="658"/>
      <c r="L50" s="636"/>
      <c r="M50" s="636"/>
      <c r="N50" s="644"/>
    </row>
    <row r="51" spans="1:14">
      <c r="A51" s="637">
        <v>5.01</v>
      </c>
      <c r="B51" s="659" t="s">
        <v>610</v>
      </c>
      <c r="C51" s="660">
        <v>500</v>
      </c>
      <c r="D51" s="661" t="s">
        <v>189</v>
      </c>
      <c r="E51" s="662">
        <v>1800.51</v>
      </c>
      <c r="F51" s="641">
        <f>C51*E51</f>
        <v>900255</v>
      </c>
      <c r="G51" s="632">
        <v>250</v>
      </c>
      <c r="H51" s="632"/>
      <c r="I51" s="642">
        <f>G51+H51</f>
        <v>250</v>
      </c>
      <c r="J51" s="643">
        <f t="shared" ref="J51:J53" si="39">I51/C51</f>
        <v>0.5</v>
      </c>
      <c r="K51" s="636">
        <f t="shared" ref="K51:K53" si="40">G51*E51</f>
        <v>450127.5</v>
      </c>
      <c r="L51" s="636">
        <f t="shared" ref="L51:L53" si="41">H51*E51</f>
        <v>0</v>
      </c>
      <c r="M51" s="636">
        <f t="shared" ref="M51:M53" si="42">K51+L51</f>
        <v>450127.5</v>
      </c>
      <c r="N51" s="644"/>
    </row>
    <row r="52" spans="1:14">
      <c r="A52" s="637">
        <v>5.0199999999999996</v>
      </c>
      <c r="B52" s="659" t="s">
        <v>611</v>
      </c>
      <c r="C52" s="660">
        <v>240</v>
      </c>
      <c r="D52" s="661" t="s">
        <v>30</v>
      </c>
      <c r="E52" s="662">
        <v>277.51</v>
      </c>
      <c r="F52" s="641">
        <f t="shared" ref="F52:F53" si="43">C52*E52</f>
        <v>66602.399999999994</v>
      </c>
      <c r="G52" s="632">
        <v>120</v>
      </c>
      <c r="H52" s="632"/>
      <c r="I52" s="642">
        <f t="shared" ref="I52:I53" si="44">G52+H52</f>
        <v>120</v>
      </c>
      <c r="J52" s="643">
        <f t="shared" si="39"/>
        <v>0.5</v>
      </c>
      <c r="K52" s="636">
        <f t="shared" si="40"/>
        <v>33301.199999999997</v>
      </c>
      <c r="L52" s="636">
        <f t="shared" si="41"/>
        <v>0</v>
      </c>
      <c r="M52" s="636">
        <f t="shared" si="42"/>
        <v>33301.199999999997</v>
      </c>
      <c r="N52" s="644"/>
    </row>
    <row r="53" spans="1:14">
      <c r="A53" s="637">
        <v>5.03</v>
      </c>
      <c r="B53" s="659" t="s">
        <v>612</v>
      </c>
      <c r="C53" s="660">
        <v>35</v>
      </c>
      <c r="D53" s="661" t="s">
        <v>189</v>
      </c>
      <c r="E53" s="662">
        <v>1948.43</v>
      </c>
      <c r="F53" s="641">
        <f t="shared" si="43"/>
        <v>68195.05</v>
      </c>
      <c r="G53" s="632">
        <v>17.5</v>
      </c>
      <c r="H53" s="632"/>
      <c r="I53" s="642">
        <f t="shared" si="44"/>
        <v>17.5</v>
      </c>
      <c r="J53" s="643">
        <f t="shared" si="39"/>
        <v>0.5</v>
      </c>
      <c r="K53" s="636">
        <f t="shared" si="40"/>
        <v>34097.525000000001</v>
      </c>
      <c r="L53" s="636">
        <f t="shared" si="41"/>
        <v>0</v>
      </c>
      <c r="M53" s="636">
        <f t="shared" si="42"/>
        <v>34097.525000000001</v>
      </c>
      <c r="N53" s="644"/>
    </row>
    <row r="54" spans="1:14">
      <c r="A54" s="637"/>
      <c r="B54" s="663" t="s">
        <v>44</v>
      </c>
      <c r="C54" s="664"/>
      <c r="D54" s="665"/>
      <c r="E54" s="666"/>
      <c r="F54" s="667">
        <f>SUM(F51:F53)</f>
        <v>1035052.4500000001</v>
      </c>
      <c r="G54" s="632"/>
      <c r="H54" s="632"/>
      <c r="I54" s="642"/>
      <c r="J54" s="652"/>
      <c r="K54" s="657">
        <f>+SUBTOTAL(9,K51:K53)</f>
        <v>517526.22500000003</v>
      </c>
      <c r="L54" s="657">
        <f>+SUBTOTAL(9,L51:L53)</f>
        <v>0</v>
      </c>
      <c r="M54" s="657">
        <f>+SUBTOTAL(9,M51:M53)</f>
        <v>517526.22500000003</v>
      </c>
      <c r="N54" s="644"/>
    </row>
    <row r="55" spans="1:14">
      <c r="A55" s="628">
        <v>6</v>
      </c>
      <c r="B55" s="663" t="s">
        <v>613</v>
      </c>
      <c r="C55" s="660"/>
      <c r="D55" s="661"/>
      <c r="E55" s="662"/>
      <c r="F55" s="668"/>
      <c r="G55" s="632"/>
      <c r="H55" s="632"/>
      <c r="I55" s="642"/>
      <c r="J55" s="652"/>
      <c r="K55" s="658"/>
      <c r="L55" s="636"/>
      <c r="M55" s="636"/>
      <c r="N55" s="644"/>
    </row>
    <row r="56" spans="1:14" ht="26.25">
      <c r="A56" s="637">
        <v>6.01</v>
      </c>
      <c r="B56" s="659" t="s">
        <v>614</v>
      </c>
      <c r="C56" s="660">
        <v>2</v>
      </c>
      <c r="D56" s="661" t="s">
        <v>32</v>
      </c>
      <c r="E56" s="662">
        <v>40655.199999999997</v>
      </c>
      <c r="F56" s="641">
        <f>C56*E56</f>
        <v>81310.399999999994</v>
      </c>
      <c r="G56" s="632">
        <v>1</v>
      </c>
      <c r="H56" s="632"/>
      <c r="I56" s="642">
        <f>G56+H56</f>
        <v>1</v>
      </c>
      <c r="J56" s="643">
        <f t="shared" ref="J56:J58" si="45">I56/C56</f>
        <v>0.5</v>
      </c>
      <c r="K56" s="636">
        <f t="shared" ref="K56:K57" si="46">G56*E56</f>
        <v>40655.199999999997</v>
      </c>
      <c r="L56" s="636">
        <f t="shared" ref="L56:L58" si="47">H56*E56</f>
        <v>0</v>
      </c>
      <c r="M56" s="636">
        <f t="shared" ref="M56:M58" si="48">K56+L56</f>
        <v>40655.199999999997</v>
      </c>
      <c r="N56" s="644"/>
    </row>
    <row r="57" spans="1:14">
      <c r="A57" s="637">
        <v>6.02</v>
      </c>
      <c r="B57" s="659" t="s">
        <v>615</v>
      </c>
      <c r="C57" s="660">
        <v>4</v>
      </c>
      <c r="D57" s="661" t="s">
        <v>32</v>
      </c>
      <c r="E57" s="662">
        <v>25259.82</v>
      </c>
      <c r="F57" s="641">
        <f t="shared" ref="F57:F58" si="49">C57*E57</f>
        <v>101039.28</v>
      </c>
      <c r="G57" s="632">
        <v>2</v>
      </c>
      <c r="H57" s="632"/>
      <c r="I57" s="642">
        <f t="shared" ref="I57:I58" si="50">G57+H57</f>
        <v>2</v>
      </c>
      <c r="J57" s="643">
        <f t="shared" si="45"/>
        <v>0.5</v>
      </c>
      <c r="K57" s="636">
        <f t="shared" si="46"/>
        <v>50519.64</v>
      </c>
      <c r="L57" s="636">
        <f t="shared" si="47"/>
        <v>0</v>
      </c>
      <c r="M57" s="636">
        <f t="shared" si="48"/>
        <v>50519.64</v>
      </c>
      <c r="N57" s="644"/>
    </row>
    <row r="58" spans="1:14">
      <c r="A58" s="637">
        <v>6.03</v>
      </c>
      <c r="B58" s="659" t="s">
        <v>616</v>
      </c>
      <c r="C58" s="660">
        <v>4</v>
      </c>
      <c r="D58" s="661" t="s">
        <v>32</v>
      </c>
      <c r="E58" s="662">
        <v>19857.84</v>
      </c>
      <c r="F58" s="641">
        <f t="shared" si="49"/>
        <v>79431.360000000001</v>
      </c>
      <c r="G58" s="632">
        <v>2</v>
      </c>
      <c r="H58" s="632"/>
      <c r="I58" s="642">
        <f t="shared" si="50"/>
        <v>2</v>
      </c>
      <c r="J58" s="643">
        <f t="shared" si="45"/>
        <v>0.5</v>
      </c>
      <c r="K58" s="658">
        <v>39715.68</v>
      </c>
      <c r="L58" s="636">
        <f t="shared" si="47"/>
        <v>0</v>
      </c>
      <c r="M58" s="636">
        <f t="shared" si="48"/>
        <v>39715.68</v>
      </c>
      <c r="N58" s="644"/>
    </row>
    <row r="59" spans="1:14">
      <c r="A59" s="637"/>
      <c r="B59" s="663" t="s">
        <v>44</v>
      </c>
      <c r="C59" s="664"/>
      <c r="D59" s="665"/>
      <c r="E59" s="666"/>
      <c r="F59" s="667">
        <f>SUM(F56:F58)</f>
        <v>261781.03999999998</v>
      </c>
      <c r="G59" s="632"/>
      <c r="H59" s="632"/>
      <c r="I59" s="642"/>
      <c r="J59" s="652"/>
      <c r="K59" s="657">
        <f>+SUBTOTAL(9,K56:K58)</f>
        <v>130890.51999999999</v>
      </c>
      <c r="L59" s="657">
        <f>+SUBTOTAL(9,L56:L58)</f>
        <v>0</v>
      </c>
      <c r="M59" s="657">
        <f>+SUBTOTAL(9,M56:M58)</f>
        <v>130890.51999999999</v>
      </c>
      <c r="N59" s="644"/>
    </row>
    <row r="60" spans="1:14">
      <c r="A60" s="628">
        <v>7</v>
      </c>
      <c r="B60" s="663" t="s">
        <v>617</v>
      </c>
      <c r="C60" s="660"/>
      <c r="D60" s="661"/>
      <c r="E60" s="662"/>
      <c r="F60" s="668"/>
      <c r="G60" s="632"/>
      <c r="H60" s="632"/>
      <c r="I60" s="642"/>
      <c r="J60" s="652"/>
      <c r="K60" s="658"/>
      <c r="L60" s="636"/>
      <c r="M60" s="636"/>
      <c r="N60" s="644"/>
    </row>
    <row r="61" spans="1:14" ht="26.25">
      <c r="A61" s="654">
        <v>7.01</v>
      </c>
      <c r="B61" s="659" t="s">
        <v>618</v>
      </c>
      <c r="C61" s="660">
        <v>10.34</v>
      </c>
      <c r="D61" s="661" t="s">
        <v>605</v>
      </c>
      <c r="E61" s="662">
        <v>882.05</v>
      </c>
      <c r="F61" s="641">
        <f>C61*E61</f>
        <v>9120.396999999999</v>
      </c>
      <c r="G61" s="632"/>
      <c r="H61" s="632"/>
      <c r="I61" s="642"/>
      <c r="J61" s="652"/>
      <c r="K61" s="658"/>
      <c r="L61" s="636"/>
      <c r="M61" s="636"/>
      <c r="N61" s="644"/>
    </row>
    <row r="62" spans="1:14">
      <c r="A62" s="637"/>
      <c r="B62" s="663" t="s">
        <v>44</v>
      </c>
      <c r="C62" s="664"/>
      <c r="D62" s="665"/>
      <c r="E62" s="666"/>
      <c r="F62" s="667">
        <f>F61</f>
        <v>9120.396999999999</v>
      </c>
      <c r="G62" s="632"/>
      <c r="H62" s="632"/>
      <c r="I62" s="642"/>
      <c r="J62" s="652"/>
      <c r="K62" s="658"/>
      <c r="L62" s="636"/>
      <c r="M62" s="636"/>
      <c r="N62" s="644"/>
    </row>
    <row r="63" spans="1:14">
      <c r="A63" s="628">
        <v>8</v>
      </c>
      <c r="B63" s="663" t="s">
        <v>274</v>
      </c>
      <c r="C63" s="660"/>
      <c r="D63" s="661"/>
      <c r="E63" s="662"/>
      <c r="F63" s="668"/>
      <c r="G63" s="632"/>
      <c r="H63" s="632"/>
      <c r="I63" s="642"/>
      <c r="J63" s="652"/>
      <c r="K63" s="658"/>
      <c r="L63" s="636"/>
      <c r="M63" s="636"/>
      <c r="N63" s="644"/>
    </row>
    <row r="64" spans="1:14">
      <c r="A64" s="637">
        <v>8.01</v>
      </c>
      <c r="B64" s="659" t="s">
        <v>619</v>
      </c>
      <c r="C64" s="670">
        <v>14.96</v>
      </c>
      <c r="D64" s="671" t="s">
        <v>30</v>
      </c>
      <c r="E64" s="672">
        <v>2764.21</v>
      </c>
      <c r="F64" s="641">
        <f>C64*E64</f>
        <v>41352.581600000005</v>
      </c>
      <c r="G64" s="632"/>
      <c r="H64" s="632"/>
      <c r="I64" s="642"/>
      <c r="J64" s="652"/>
      <c r="K64" s="658"/>
      <c r="L64" s="636"/>
      <c r="M64" s="636"/>
      <c r="N64" s="644"/>
    </row>
    <row r="65" spans="1:14">
      <c r="A65" s="637">
        <v>8.02</v>
      </c>
      <c r="B65" s="673" t="s">
        <v>620</v>
      </c>
      <c r="C65" s="674">
        <v>4</v>
      </c>
      <c r="D65" s="675" t="s">
        <v>189</v>
      </c>
      <c r="E65" s="676">
        <v>1800.51</v>
      </c>
      <c r="F65" s="641">
        <f>C65*E65</f>
        <v>7202.04</v>
      </c>
      <c r="G65" s="632"/>
      <c r="H65" s="632"/>
      <c r="I65" s="642"/>
      <c r="J65" s="652"/>
      <c r="K65" s="658"/>
      <c r="L65" s="636"/>
      <c r="M65" s="636"/>
      <c r="N65" s="644"/>
    </row>
    <row r="66" spans="1:14">
      <c r="A66" s="637"/>
      <c r="B66" s="677" t="s">
        <v>44</v>
      </c>
      <c r="C66" s="678"/>
      <c r="D66" s="679"/>
      <c r="E66" s="680"/>
      <c r="F66" s="681">
        <f>SUM(F64:F65)</f>
        <v>48554.621600000006</v>
      </c>
      <c r="G66" s="632"/>
      <c r="H66" s="632"/>
      <c r="I66" s="642"/>
      <c r="J66" s="652"/>
      <c r="K66" s="658"/>
      <c r="L66" s="636"/>
      <c r="M66" s="636"/>
      <c r="N66" s="644"/>
    </row>
    <row r="67" spans="1:14">
      <c r="A67" s="682">
        <v>9</v>
      </c>
      <c r="B67" s="683" t="s">
        <v>621</v>
      </c>
      <c r="C67" s="684"/>
      <c r="D67" s="685"/>
      <c r="E67" s="684"/>
      <c r="F67" s="686"/>
      <c r="G67" s="632"/>
      <c r="H67" s="632"/>
      <c r="I67" s="642"/>
      <c r="J67" s="652"/>
      <c r="K67" s="658"/>
      <c r="L67" s="636"/>
      <c r="M67" s="636"/>
      <c r="N67" s="644"/>
    </row>
    <row r="68" spans="1:14">
      <c r="A68" s="687">
        <v>9.01</v>
      </c>
      <c r="B68" s="688" t="s">
        <v>622</v>
      </c>
      <c r="C68" s="689">
        <v>1752.8</v>
      </c>
      <c r="D68" s="690" t="s">
        <v>189</v>
      </c>
      <c r="E68" s="691">
        <v>300.42</v>
      </c>
      <c r="F68" s="641">
        <f>C68*E68</f>
        <v>526576.17599999998</v>
      </c>
      <c r="G68" s="632"/>
      <c r="H68" s="632"/>
      <c r="I68" s="642"/>
      <c r="J68" s="652"/>
      <c r="K68" s="658"/>
      <c r="L68" s="636"/>
      <c r="M68" s="636"/>
      <c r="N68" s="644"/>
    </row>
    <row r="69" spans="1:14">
      <c r="A69" s="685"/>
      <c r="B69" s="692" t="s">
        <v>44</v>
      </c>
      <c r="C69" s="692"/>
      <c r="D69" s="693"/>
      <c r="E69" s="692"/>
      <c r="F69" s="694">
        <f>F68</f>
        <v>526576.17599999998</v>
      </c>
      <c r="G69" s="632"/>
      <c r="H69" s="632"/>
      <c r="I69" s="642"/>
      <c r="J69" s="652"/>
      <c r="K69" s="658"/>
      <c r="L69" s="636"/>
      <c r="M69" s="636"/>
      <c r="N69" s="644"/>
    </row>
    <row r="70" spans="1:14">
      <c r="A70" s="682">
        <v>10</v>
      </c>
      <c r="B70" s="683" t="s">
        <v>623</v>
      </c>
      <c r="C70" s="684"/>
      <c r="D70" s="685"/>
      <c r="E70" s="684"/>
      <c r="F70" s="686"/>
      <c r="G70" s="632"/>
      <c r="H70" s="632"/>
      <c r="I70" s="642"/>
      <c r="J70" s="652"/>
      <c r="K70" s="658"/>
      <c r="L70" s="636"/>
      <c r="M70" s="636"/>
      <c r="N70" s="644"/>
    </row>
    <row r="71" spans="1:14">
      <c r="A71" s="687">
        <v>10.01</v>
      </c>
      <c r="B71" s="688" t="s">
        <v>624</v>
      </c>
      <c r="C71" s="684"/>
      <c r="D71" s="685"/>
      <c r="E71" s="684"/>
      <c r="F71" s="686"/>
      <c r="G71" s="632"/>
      <c r="H71" s="632"/>
      <c r="I71" s="642"/>
      <c r="J71" s="652"/>
      <c r="K71" s="658"/>
      <c r="L71" s="636"/>
      <c r="M71" s="636"/>
      <c r="N71" s="644"/>
    </row>
    <row r="72" spans="1:14">
      <c r="A72" s="687">
        <v>10.02</v>
      </c>
      <c r="B72" s="688" t="s">
        <v>625</v>
      </c>
      <c r="C72" s="687">
        <v>5.4</v>
      </c>
      <c r="D72" s="690" t="s">
        <v>189</v>
      </c>
      <c r="E72" s="695">
        <v>6543.33</v>
      </c>
      <c r="F72" s="641">
        <f>C72*E72</f>
        <v>35333.982000000004</v>
      </c>
      <c r="G72" s="632"/>
      <c r="H72" s="632"/>
      <c r="I72" s="642"/>
      <c r="J72" s="652"/>
      <c r="K72" s="658"/>
      <c r="L72" s="636"/>
      <c r="M72" s="636"/>
      <c r="N72" s="644"/>
    </row>
    <row r="73" spans="1:14">
      <c r="A73" s="687">
        <v>10.029999999999999</v>
      </c>
      <c r="B73" s="688" t="s">
        <v>626</v>
      </c>
      <c r="C73" s="687">
        <v>6</v>
      </c>
      <c r="D73" s="690" t="s">
        <v>32</v>
      </c>
      <c r="E73" s="695">
        <v>10994.43</v>
      </c>
      <c r="F73" s="641">
        <f t="shared" ref="F73:F78" si="51">C73*E73</f>
        <v>65966.58</v>
      </c>
      <c r="G73" s="632">
        <v>3</v>
      </c>
      <c r="H73" s="632"/>
      <c r="I73" s="642">
        <f>G73+H73</f>
        <v>3</v>
      </c>
      <c r="J73" s="643">
        <f t="shared" ref="J73:J78" si="52">I73/C73</f>
        <v>0.5</v>
      </c>
      <c r="K73" s="636">
        <f t="shared" ref="K73:K84" si="53">G73*E73</f>
        <v>32983.29</v>
      </c>
      <c r="L73" s="636">
        <f t="shared" ref="L73:L84" si="54">H73*E73</f>
        <v>0</v>
      </c>
      <c r="M73" s="636">
        <f t="shared" ref="M73:M84" si="55">K73+L73</f>
        <v>32983.29</v>
      </c>
      <c r="N73" s="644"/>
    </row>
    <row r="74" spans="1:14">
      <c r="A74" s="687">
        <v>10.039999999999999</v>
      </c>
      <c r="B74" s="688" t="s">
        <v>627</v>
      </c>
      <c r="C74" s="687">
        <v>8</v>
      </c>
      <c r="D74" s="690" t="s">
        <v>32</v>
      </c>
      <c r="E74" s="695">
        <v>12551.71</v>
      </c>
      <c r="F74" s="641">
        <f t="shared" si="51"/>
        <v>100413.68</v>
      </c>
      <c r="G74" s="632">
        <v>4</v>
      </c>
      <c r="H74" s="632"/>
      <c r="I74" s="642">
        <f t="shared" ref="I74:I78" si="56">G74+H74</f>
        <v>4</v>
      </c>
      <c r="J74" s="643">
        <f t="shared" si="52"/>
        <v>0.5</v>
      </c>
      <c r="K74" s="636">
        <f t="shared" si="53"/>
        <v>50206.84</v>
      </c>
      <c r="L74" s="636">
        <f t="shared" si="54"/>
        <v>0</v>
      </c>
      <c r="M74" s="636">
        <f t="shared" si="55"/>
        <v>50206.84</v>
      </c>
      <c r="N74" s="644"/>
    </row>
    <row r="75" spans="1:14">
      <c r="A75" s="687">
        <v>10.050000000000001</v>
      </c>
      <c r="B75" s="688" t="s">
        <v>628</v>
      </c>
      <c r="C75" s="687">
        <v>2</v>
      </c>
      <c r="D75" s="690" t="s">
        <v>32</v>
      </c>
      <c r="E75" s="695">
        <v>2783.77</v>
      </c>
      <c r="F75" s="641">
        <f t="shared" si="51"/>
        <v>5567.54</v>
      </c>
      <c r="G75" s="632">
        <v>2</v>
      </c>
      <c r="H75" s="632"/>
      <c r="I75" s="642">
        <f t="shared" si="56"/>
        <v>2</v>
      </c>
      <c r="J75" s="643">
        <f t="shared" si="52"/>
        <v>1</v>
      </c>
      <c r="K75" s="636">
        <f t="shared" si="53"/>
        <v>5567.54</v>
      </c>
      <c r="L75" s="636">
        <f t="shared" si="54"/>
        <v>0</v>
      </c>
      <c r="M75" s="636">
        <f t="shared" si="55"/>
        <v>5567.54</v>
      </c>
      <c r="N75" s="644"/>
    </row>
    <row r="76" spans="1:14">
      <c r="A76" s="687">
        <v>10.06</v>
      </c>
      <c r="B76" s="688" t="s">
        <v>629</v>
      </c>
      <c r="C76" s="687">
        <v>2</v>
      </c>
      <c r="D76" s="690" t="s">
        <v>32</v>
      </c>
      <c r="E76" s="695">
        <v>10709.95</v>
      </c>
      <c r="F76" s="641">
        <f t="shared" si="51"/>
        <v>21419.9</v>
      </c>
      <c r="G76" s="632">
        <v>1</v>
      </c>
      <c r="H76" s="632"/>
      <c r="I76" s="642">
        <f t="shared" si="56"/>
        <v>1</v>
      </c>
      <c r="J76" s="643">
        <f t="shared" si="52"/>
        <v>0.5</v>
      </c>
      <c r="K76" s="636">
        <f t="shared" si="53"/>
        <v>10709.95</v>
      </c>
      <c r="L76" s="636">
        <f t="shared" si="54"/>
        <v>0</v>
      </c>
      <c r="M76" s="636">
        <f t="shared" si="55"/>
        <v>10709.95</v>
      </c>
      <c r="N76" s="644"/>
    </row>
    <row r="77" spans="1:14">
      <c r="A77" s="696">
        <v>10.07</v>
      </c>
      <c r="B77" s="688" t="s">
        <v>630</v>
      </c>
      <c r="C77" s="687">
        <v>1</v>
      </c>
      <c r="D77" s="690" t="s">
        <v>32</v>
      </c>
      <c r="E77" s="695">
        <v>6881.76</v>
      </c>
      <c r="F77" s="641">
        <f t="shared" si="51"/>
        <v>6881.76</v>
      </c>
      <c r="G77" s="632">
        <v>0.5</v>
      </c>
      <c r="H77" s="632"/>
      <c r="I77" s="642">
        <f t="shared" si="56"/>
        <v>0.5</v>
      </c>
      <c r="J77" s="643">
        <f t="shared" si="52"/>
        <v>0.5</v>
      </c>
      <c r="K77" s="636">
        <f t="shared" si="53"/>
        <v>3440.88</v>
      </c>
      <c r="L77" s="636">
        <f t="shared" si="54"/>
        <v>0</v>
      </c>
      <c r="M77" s="636">
        <f t="shared" si="55"/>
        <v>3440.88</v>
      </c>
      <c r="N77" s="644"/>
    </row>
    <row r="78" spans="1:14">
      <c r="A78" s="687">
        <v>10.08</v>
      </c>
      <c r="B78" s="688" t="s">
        <v>631</v>
      </c>
      <c r="C78" s="687">
        <v>1</v>
      </c>
      <c r="D78" s="690" t="s">
        <v>88</v>
      </c>
      <c r="E78" s="695">
        <v>135000</v>
      </c>
      <c r="F78" s="641">
        <f t="shared" si="51"/>
        <v>135000</v>
      </c>
      <c r="G78" s="632">
        <v>0.5</v>
      </c>
      <c r="H78" s="632"/>
      <c r="I78" s="642">
        <f t="shared" si="56"/>
        <v>0.5</v>
      </c>
      <c r="J78" s="643">
        <f t="shared" si="52"/>
        <v>0.5</v>
      </c>
      <c r="K78" s="636">
        <f t="shared" si="53"/>
        <v>67500</v>
      </c>
      <c r="L78" s="636">
        <f t="shared" si="54"/>
        <v>0</v>
      </c>
      <c r="M78" s="636">
        <f t="shared" si="55"/>
        <v>67500</v>
      </c>
      <c r="N78" s="644"/>
    </row>
    <row r="79" spans="1:14">
      <c r="A79" s="687">
        <v>10.09</v>
      </c>
      <c r="B79" s="688" t="s">
        <v>632</v>
      </c>
      <c r="C79" s="684"/>
      <c r="D79" s="685"/>
      <c r="E79" s="684"/>
      <c r="F79" s="686"/>
      <c r="G79" s="632"/>
      <c r="H79" s="632"/>
      <c r="I79" s="642"/>
      <c r="J79" s="643"/>
      <c r="K79" s="658"/>
      <c r="L79" s="636"/>
      <c r="M79" s="636"/>
      <c r="N79" s="644"/>
    </row>
    <row r="80" spans="1:14">
      <c r="A80" s="687">
        <v>10.1</v>
      </c>
      <c r="B80" s="688" t="s">
        <v>633</v>
      </c>
      <c r="C80" s="687">
        <v>10</v>
      </c>
      <c r="D80" s="690" t="s">
        <v>353</v>
      </c>
      <c r="E80" s="695">
        <v>2955</v>
      </c>
      <c r="F80" s="641">
        <f>C80*E80</f>
        <v>29550</v>
      </c>
      <c r="G80" s="632">
        <v>5</v>
      </c>
      <c r="H80" s="632"/>
      <c r="I80" s="642">
        <f>G80+H80</f>
        <v>5</v>
      </c>
      <c r="J80" s="643">
        <f t="shared" ref="J80:J84" si="57">I80/C80</f>
        <v>0.5</v>
      </c>
      <c r="K80" s="636">
        <f t="shared" si="53"/>
        <v>14775</v>
      </c>
      <c r="L80" s="636">
        <f t="shared" si="54"/>
        <v>0</v>
      </c>
      <c r="M80" s="636">
        <f t="shared" si="55"/>
        <v>14775</v>
      </c>
      <c r="N80" s="644"/>
    </row>
    <row r="81" spans="1:14">
      <c r="A81" s="687">
        <v>10.11</v>
      </c>
      <c r="B81" s="688" t="s">
        <v>625</v>
      </c>
      <c r="C81" s="687">
        <v>1.2</v>
      </c>
      <c r="D81" s="690" t="s">
        <v>189</v>
      </c>
      <c r="E81" s="695">
        <v>6790</v>
      </c>
      <c r="F81" s="641">
        <f t="shared" ref="F81:F84" si="58">C81*E81</f>
        <v>8148</v>
      </c>
      <c r="G81" s="632">
        <v>0.6</v>
      </c>
      <c r="H81" s="632"/>
      <c r="I81" s="642">
        <f t="shared" ref="I81:I84" si="59">G81+H81</f>
        <v>0.6</v>
      </c>
      <c r="J81" s="643">
        <f t="shared" si="57"/>
        <v>0.5</v>
      </c>
      <c r="K81" s="636">
        <f t="shared" si="53"/>
        <v>4074</v>
      </c>
      <c r="L81" s="636">
        <f t="shared" si="54"/>
        <v>0</v>
      </c>
      <c r="M81" s="636">
        <f t="shared" si="55"/>
        <v>4074</v>
      </c>
      <c r="N81" s="644"/>
    </row>
    <row r="82" spans="1:14">
      <c r="A82" s="687">
        <v>10.119999999999999</v>
      </c>
      <c r="B82" s="688" t="s">
        <v>634</v>
      </c>
      <c r="C82" s="687">
        <v>1</v>
      </c>
      <c r="D82" s="690" t="s">
        <v>32</v>
      </c>
      <c r="E82" s="695">
        <v>14106.81</v>
      </c>
      <c r="F82" s="641">
        <f t="shared" si="58"/>
        <v>14106.81</v>
      </c>
      <c r="G82" s="632">
        <v>0.5</v>
      </c>
      <c r="H82" s="632"/>
      <c r="I82" s="642">
        <f t="shared" si="59"/>
        <v>0.5</v>
      </c>
      <c r="J82" s="643">
        <f t="shared" si="57"/>
        <v>0.5</v>
      </c>
      <c r="K82" s="636">
        <f t="shared" si="53"/>
        <v>7053.4049999999997</v>
      </c>
      <c r="L82" s="636">
        <f t="shared" si="54"/>
        <v>0</v>
      </c>
      <c r="M82" s="636">
        <f t="shared" si="55"/>
        <v>7053.4049999999997</v>
      </c>
      <c r="N82" s="644"/>
    </row>
    <row r="83" spans="1:14">
      <c r="A83" s="687">
        <v>10.130000000000001</v>
      </c>
      <c r="B83" s="688" t="s">
        <v>630</v>
      </c>
      <c r="C83" s="687">
        <v>1</v>
      </c>
      <c r="D83" s="690" t="s">
        <v>32</v>
      </c>
      <c r="E83" s="695">
        <v>6881.76</v>
      </c>
      <c r="F83" s="641">
        <f t="shared" si="58"/>
        <v>6881.76</v>
      </c>
      <c r="G83" s="632">
        <v>0.5</v>
      </c>
      <c r="H83" s="632"/>
      <c r="I83" s="642">
        <f t="shared" si="59"/>
        <v>0.5</v>
      </c>
      <c r="J83" s="643">
        <f t="shared" si="57"/>
        <v>0.5</v>
      </c>
      <c r="K83" s="636">
        <f t="shared" si="53"/>
        <v>3440.88</v>
      </c>
      <c r="L83" s="636">
        <f t="shared" si="54"/>
        <v>0</v>
      </c>
      <c r="M83" s="636">
        <f t="shared" si="55"/>
        <v>3440.88</v>
      </c>
      <c r="N83" s="644"/>
    </row>
    <row r="84" spans="1:14">
      <c r="A84" s="687">
        <v>10.14</v>
      </c>
      <c r="B84" s="688" t="s">
        <v>635</v>
      </c>
      <c r="C84" s="687">
        <v>1</v>
      </c>
      <c r="D84" s="690" t="s">
        <v>32</v>
      </c>
      <c r="E84" s="695">
        <v>10948.28</v>
      </c>
      <c r="F84" s="641">
        <f t="shared" si="58"/>
        <v>10948.28</v>
      </c>
      <c r="G84" s="632">
        <v>0.5</v>
      </c>
      <c r="H84" s="632"/>
      <c r="I84" s="642">
        <f t="shared" si="59"/>
        <v>0.5</v>
      </c>
      <c r="J84" s="643">
        <f t="shared" si="57"/>
        <v>0.5</v>
      </c>
      <c r="K84" s="636">
        <f t="shared" si="53"/>
        <v>5474.14</v>
      </c>
      <c r="L84" s="636">
        <f t="shared" si="54"/>
        <v>0</v>
      </c>
      <c r="M84" s="636">
        <f t="shared" si="55"/>
        <v>5474.14</v>
      </c>
      <c r="N84" s="644"/>
    </row>
    <row r="85" spans="1:14">
      <c r="A85" s="685"/>
      <c r="B85" s="692" t="s">
        <v>44</v>
      </c>
      <c r="C85" s="692"/>
      <c r="D85" s="693"/>
      <c r="E85" s="692"/>
      <c r="F85" s="694">
        <f>SUM(F72:F84)</f>
        <v>440218.29200000007</v>
      </c>
      <c r="G85" s="632"/>
      <c r="H85" s="632"/>
      <c r="I85" s="642"/>
      <c r="J85" s="652"/>
      <c r="K85" s="657">
        <f>+SUBTOTAL(9,K73:K84)</f>
        <v>205225.92500000002</v>
      </c>
      <c r="L85" s="657">
        <f>+SUBTOTAL(9,L73:L84)</f>
        <v>0</v>
      </c>
      <c r="M85" s="657">
        <f>+SUBTOTAL(9,M73:M84)</f>
        <v>205225.92500000002</v>
      </c>
      <c r="N85" s="644"/>
    </row>
    <row r="86" spans="1:14">
      <c r="A86" s="682">
        <v>11</v>
      </c>
      <c r="B86" s="683" t="s">
        <v>636</v>
      </c>
      <c r="C86" s="684"/>
      <c r="D86" s="685"/>
      <c r="E86" s="684"/>
      <c r="F86" s="686"/>
      <c r="G86" s="632"/>
      <c r="H86" s="632"/>
      <c r="I86" s="642"/>
      <c r="J86" s="652"/>
      <c r="K86" s="697"/>
      <c r="L86" s="657"/>
      <c r="M86" s="657"/>
      <c r="N86" s="644"/>
    </row>
    <row r="87" spans="1:14">
      <c r="A87" s="687">
        <v>11.01</v>
      </c>
      <c r="B87" s="688" t="s">
        <v>637</v>
      </c>
      <c r="C87" s="687">
        <v>38</v>
      </c>
      <c r="D87" s="690" t="s">
        <v>32</v>
      </c>
      <c r="E87" s="695">
        <v>1473.68</v>
      </c>
      <c r="F87" s="641">
        <f t="shared" ref="F87:F95" si="60">C87*E87</f>
        <v>55999.840000000004</v>
      </c>
      <c r="G87" s="632">
        <v>19</v>
      </c>
      <c r="H87" s="632"/>
      <c r="I87" s="642">
        <f>G87+H87</f>
        <v>19</v>
      </c>
      <c r="J87" s="643">
        <f t="shared" ref="J87:J95" si="61">I87/C87</f>
        <v>0.5</v>
      </c>
      <c r="K87" s="636">
        <f t="shared" ref="K87:K95" si="62">G87*E87</f>
        <v>27999.920000000002</v>
      </c>
      <c r="L87" s="636">
        <f t="shared" ref="L87:L95" si="63">H87*E87</f>
        <v>0</v>
      </c>
      <c r="M87" s="636">
        <f t="shared" ref="M87:M95" si="64">K87+L87</f>
        <v>27999.920000000002</v>
      </c>
      <c r="N87" s="644"/>
    </row>
    <row r="88" spans="1:14">
      <c r="A88" s="687">
        <v>11.02</v>
      </c>
      <c r="B88" s="688" t="s">
        <v>638</v>
      </c>
      <c r="C88" s="687">
        <v>12</v>
      </c>
      <c r="D88" s="690" t="s">
        <v>32</v>
      </c>
      <c r="E88" s="695">
        <v>1586.98</v>
      </c>
      <c r="F88" s="641">
        <f t="shared" si="60"/>
        <v>19043.760000000002</v>
      </c>
      <c r="G88" s="632">
        <v>6</v>
      </c>
      <c r="H88" s="632"/>
      <c r="I88" s="642">
        <f t="shared" ref="I88:I94" si="65">G88+H88</f>
        <v>6</v>
      </c>
      <c r="J88" s="643">
        <f t="shared" si="61"/>
        <v>0.5</v>
      </c>
      <c r="K88" s="636">
        <f t="shared" si="62"/>
        <v>9521.880000000001</v>
      </c>
      <c r="L88" s="636">
        <f t="shared" si="63"/>
        <v>0</v>
      </c>
      <c r="M88" s="636">
        <f t="shared" si="64"/>
        <v>9521.880000000001</v>
      </c>
      <c r="N88" s="644"/>
    </row>
    <row r="89" spans="1:14">
      <c r="A89" s="687">
        <v>11.03</v>
      </c>
      <c r="B89" s="688" t="s">
        <v>639</v>
      </c>
      <c r="C89" s="687">
        <v>2</v>
      </c>
      <c r="D89" s="690" t="s">
        <v>32</v>
      </c>
      <c r="E89" s="695">
        <v>2082.37</v>
      </c>
      <c r="F89" s="641">
        <f t="shared" si="60"/>
        <v>4164.74</v>
      </c>
      <c r="G89" s="632">
        <v>1</v>
      </c>
      <c r="H89" s="632"/>
      <c r="I89" s="642">
        <f t="shared" si="65"/>
        <v>1</v>
      </c>
      <c r="J89" s="643">
        <f t="shared" si="61"/>
        <v>0.5</v>
      </c>
      <c r="K89" s="636">
        <f t="shared" si="62"/>
        <v>2082.37</v>
      </c>
      <c r="L89" s="636">
        <f t="shared" si="63"/>
        <v>0</v>
      </c>
      <c r="M89" s="636">
        <f t="shared" si="64"/>
        <v>2082.37</v>
      </c>
      <c r="N89" s="644"/>
    </row>
    <row r="90" spans="1:14">
      <c r="A90" s="687">
        <v>11.04</v>
      </c>
      <c r="B90" s="688" t="s">
        <v>640</v>
      </c>
      <c r="C90" s="687">
        <v>1</v>
      </c>
      <c r="D90" s="690" t="s">
        <v>32</v>
      </c>
      <c r="E90" s="695">
        <v>2452.84</v>
      </c>
      <c r="F90" s="641">
        <f t="shared" si="60"/>
        <v>2452.84</v>
      </c>
      <c r="G90" s="632">
        <v>0.5</v>
      </c>
      <c r="H90" s="632"/>
      <c r="I90" s="642">
        <f t="shared" si="65"/>
        <v>0.5</v>
      </c>
      <c r="J90" s="643">
        <f t="shared" si="61"/>
        <v>0.5</v>
      </c>
      <c r="K90" s="636">
        <f t="shared" si="62"/>
        <v>1226.42</v>
      </c>
      <c r="L90" s="636">
        <f t="shared" si="63"/>
        <v>0</v>
      </c>
      <c r="M90" s="636">
        <f t="shared" si="64"/>
        <v>1226.42</v>
      </c>
      <c r="N90" s="644"/>
    </row>
    <row r="91" spans="1:14">
      <c r="A91" s="687">
        <v>11.05</v>
      </c>
      <c r="B91" s="688" t="s">
        <v>641</v>
      </c>
      <c r="C91" s="687">
        <v>2</v>
      </c>
      <c r="D91" s="690" t="s">
        <v>32</v>
      </c>
      <c r="E91" s="695">
        <v>1944.31</v>
      </c>
      <c r="F91" s="641">
        <f t="shared" si="60"/>
        <v>3888.62</v>
      </c>
      <c r="G91" s="632">
        <v>1</v>
      </c>
      <c r="H91" s="632"/>
      <c r="I91" s="642">
        <f t="shared" si="65"/>
        <v>1</v>
      </c>
      <c r="J91" s="643">
        <f t="shared" si="61"/>
        <v>0.5</v>
      </c>
      <c r="K91" s="636">
        <f t="shared" si="62"/>
        <v>1944.31</v>
      </c>
      <c r="L91" s="636">
        <f t="shared" si="63"/>
        <v>0</v>
      </c>
      <c r="M91" s="636">
        <f t="shared" si="64"/>
        <v>1944.31</v>
      </c>
      <c r="N91" s="644"/>
    </row>
    <row r="92" spans="1:14">
      <c r="A92" s="687">
        <v>11.06</v>
      </c>
      <c r="B92" s="688" t="s">
        <v>642</v>
      </c>
      <c r="C92" s="687">
        <v>50</v>
      </c>
      <c r="D92" s="690" t="s">
        <v>32</v>
      </c>
      <c r="E92" s="695">
        <v>1859.58</v>
      </c>
      <c r="F92" s="641">
        <f t="shared" si="60"/>
        <v>92979</v>
      </c>
      <c r="G92" s="632">
        <v>25</v>
      </c>
      <c r="H92" s="632"/>
      <c r="I92" s="642">
        <f t="shared" si="65"/>
        <v>25</v>
      </c>
      <c r="J92" s="643">
        <f t="shared" si="61"/>
        <v>0.5</v>
      </c>
      <c r="K92" s="636">
        <f t="shared" si="62"/>
        <v>46489.5</v>
      </c>
      <c r="L92" s="636">
        <f t="shared" si="63"/>
        <v>0</v>
      </c>
      <c r="M92" s="636">
        <f t="shared" si="64"/>
        <v>46489.5</v>
      </c>
      <c r="N92" s="644"/>
    </row>
    <row r="93" spans="1:14">
      <c r="A93" s="687">
        <v>11.07</v>
      </c>
      <c r="B93" s="688" t="s">
        <v>643</v>
      </c>
      <c r="C93" s="687">
        <v>14</v>
      </c>
      <c r="D93" s="690" t="s">
        <v>32</v>
      </c>
      <c r="E93" s="695">
        <v>3945.79</v>
      </c>
      <c r="F93" s="641">
        <f t="shared" si="60"/>
        <v>55241.06</v>
      </c>
      <c r="G93" s="632">
        <v>7</v>
      </c>
      <c r="H93" s="632"/>
      <c r="I93" s="642">
        <f t="shared" si="65"/>
        <v>7</v>
      </c>
      <c r="J93" s="643">
        <f t="shared" si="61"/>
        <v>0.5</v>
      </c>
      <c r="K93" s="636">
        <f t="shared" si="62"/>
        <v>27620.53</v>
      </c>
      <c r="L93" s="636">
        <f t="shared" si="63"/>
        <v>0</v>
      </c>
      <c r="M93" s="636">
        <f t="shared" si="64"/>
        <v>27620.53</v>
      </c>
      <c r="N93" s="644"/>
    </row>
    <row r="94" spans="1:14">
      <c r="A94" s="698">
        <v>11.08</v>
      </c>
      <c r="B94" s="699" t="s">
        <v>644</v>
      </c>
      <c r="C94" s="698">
        <v>24</v>
      </c>
      <c r="D94" s="700" t="s">
        <v>32</v>
      </c>
      <c r="E94" s="701">
        <v>1368.29</v>
      </c>
      <c r="F94" s="641">
        <f t="shared" si="60"/>
        <v>32838.959999999999</v>
      </c>
      <c r="G94" s="632">
        <v>12</v>
      </c>
      <c r="H94" s="632"/>
      <c r="I94" s="642">
        <f t="shared" si="65"/>
        <v>12</v>
      </c>
      <c r="J94" s="643">
        <f t="shared" si="61"/>
        <v>0.5</v>
      </c>
      <c r="K94" s="636">
        <f t="shared" si="62"/>
        <v>16419.48</v>
      </c>
      <c r="L94" s="636">
        <f t="shared" si="63"/>
        <v>0</v>
      </c>
      <c r="M94" s="636">
        <f t="shared" si="64"/>
        <v>16419.48</v>
      </c>
      <c r="N94" s="644"/>
    </row>
    <row r="95" spans="1:14">
      <c r="A95" s="702">
        <v>11.09</v>
      </c>
      <c r="B95" s="703" t="s">
        <v>645</v>
      </c>
      <c r="C95" s="702">
        <v>1</v>
      </c>
      <c r="D95" s="704" t="s">
        <v>32</v>
      </c>
      <c r="E95" s="705">
        <v>16939.810000000001</v>
      </c>
      <c r="F95" s="641">
        <f t="shared" si="60"/>
        <v>16939.810000000001</v>
      </c>
      <c r="G95" s="632">
        <v>0.5</v>
      </c>
      <c r="H95" s="642"/>
      <c r="I95" s="642"/>
      <c r="J95" s="643">
        <f t="shared" si="61"/>
        <v>0</v>
      </c>
      <c r="K95" s="636">
        <f t="shared" si="62"/>
        <v>8469.9050000000007</v>
      </c>
      <c r="L95" s="636">
        <f t="shared" si="63"/>
        <v>0</v>
      </c>
      <c r="M95" s="636">
        <f t="shared" si="64"/>
        <v>8469.9050000000007</v>
      </c>
      <c r="N95" s="644"/>
    </row>
    <row r="96" spans="1:14">
      <c r="A96" s="702"/>
      <c r="B96" s="706" t="s">
        <v>44</v>
      </c>
      <c r="C96" s="707"/>
      <c r="D96" s="708"/>
      <c r="E96" s="709"/>
      <c r="F96" s="710">
        <f>SUM(F87:F95)</f>
        <v>283548.63</v>
      </c>
      <c r="G96" s="632"/>
      <c r="H96" s="642"/>
      <c r="I96" s="642"/>
      <c r="J96" s="652"/>
      <c r="K96" s="657">
        <f>+SUBTOTAL(9,K87:K95)</f>
        <v>141774.315</v>
      </c>
      <c r="L96" s="657">
        <f>+SUBTOTAL(9,L87:L95)</f>
        <v>0</v>
      </c>
      <c r="M96" s="657">
        <f>+SUBTOTAL(9,M87:M95)</f>
        <v>141774.315</v>
      </c>
      <c r="N96" s="644"/>
    </row>
    <row r="97" spans="1:15">
      <c r="A97" s="711" t="s">
        <v>195</v>
      </c>
      <c r="B97" s="712" t="s">
        <v>646</v>
      </c>
      <c r="C97" s="713"/>
      <c r="D97" s="714"/>
      <c r="E97" s="713"/>
      <c r="F97" s="715"/>
      <c r="G97" s="632"/>
      <c r="H97" s="642"/>
      <c r="I97" s="642"/>
      <c r="J97" s="652"/>
      <c r="K97" s="636"/>
      <c r="L97" s="636"/>
      <c r="M97" s="636"/>
      <c r="N97" s="644"/>
    </row>
    <row r="98" spans="1:15">
      <c r="A98" s="716">
        <v>1</v>
      </c>
      <c r="B98" s="712" t="s">
        <v>585</v>
      </c>
      <c r="C98" s="713"/>
      <c r="D98" s="714"/>
      <c r="E98" s="713"/>
      <c r="F98" s="715"/>
      <c r="G98" s="632"/>
      <c r="H98" s="642"/>
      <c r="I98" s="642"/>
      <c r="J98" s="652"/>
      <c r="K98" s="636"/>
      <c r="L98" s="636"/>
      <c r="M98" s="636"/>
      <c r="N98" s="644"/>
    </row>
    <row r="99" spans="1:15">
      <c r="A99" s="717">
        <v>1.01</v>
      </c>
      <c r="B99" s="718" t="s">
        <v>588</v>
      </c>
      <c r="C99" s="717">
        <v>14.58</v>
      </c>
      <c r="D99" s="719" t="s">
        <v>38</v>
      </c>
      <c r="E99" s="720">
        <v>28921.24</v>
      </c>
      <c r="F99" s="641">
        <f t="shared" ref="F99:F103" si="66">C99*E99</f>
        <v>421671.67920000001</v>
      </c>
      <c r="G99" s="632">
        <v>14.58</v>
      </c>
      <c r="H99" s="642"/>
      <c r="I99" s="642">
        <f>G99+H99</f>
        <v>14.58</v>
      </c>
      <c r="J99" s="643">
        <f t="shared" ref="J99:J103" si="67">I99/C99</f>
        <v>1</v>
      </c>
      <c r="K99" s="636">
        <f t="shared" ref="K99:K103" si="68">G99*E99</f>
        <v>421671.67920000001</v>
      </c>
      <c r="L99" s="636">
        <f t="shared" ref="L99:L101" si="69">H99*E99</f>
        <v>0</v>
      </c>
      <c r="M99" s="636">
        <f t="shared" ref="M99:M103" si="70">K99+L99</f>
        <v>421671.67920000001</v>
      </c>
      <c r="N99" s="644"/>
    </row>
    <row r="100" spans="1:15">
      <c r="A100" s="717">
        <v>1.02</v>
      </c>
      <c r="B100" s="718" t="s">
        <v>590</v>
      </c>
      <c r="C100" s="717">
        <v>35.380000000000003</v>
      </c>
      <c r="D100" s="719" t="s">
        <v>38</v>
      </c>
      <c r="E100" s="720">
        <v>19346.84</v>
      </c>
      <c r="F100" s="641">
        <f t="shared" si="66"/>
        <v>684491.19920000003</v>
      </c>
      <c r="G100" s="632">
        <v>35.380000000000003</v>
      </c>
      <c r="H100" s="642"/>
      <c r="I100" s="642">
        <f t="shared" ref="I100:I103" si="71">G100+H100</f>
        <v>35.380000000000003</v>
      </c>
      <c r="J100" s="643">
        <f t="shared" si="67"/>
        <v>1</v>
      </c>
      <c r="K100" s="636">
        <f t="shared" si="68"/>
        <v>684491.19920000003</v>
      </c>
      <c r="L100" s="636">
        <f t="shared" si="69"/>
        <v>0</v>
      </c>
      <c r="M100" s="636">
        <f t="shared" si="70"/>
        <v>684491.19920000003</v>
      </c>
      <c r="N100" s="644"/>
    </row>
    <row r="101" spans="1:15">
      <c r="A101" s="717">
        <v>1.03</v>
      </c>
      <c r="B101" s="718" t="s">
        <v>591</v>
      </c>
      <c r="C101" s="717">
        <v>23.5</v>
      </c>
      <c r="D101" s="719" t="s">
        <v>38</v>
      </c>
      <c r="E101" s="720">
        <v>29188.959999999999</v>
      </c>
      <c r="F101" s="641">
        <f t="shared" si="66"/>
        <v>685940.55999999994</v>
      </c>
      <c r="G101" s="632">
        <v>23.5</v>
      </c>
      <c r="H101" s="642"/>
      <c r="I101" s="642">
        <f t="shared" si="71"/>
        <v>23.5</v>
      </c>
      <c r="J101" s="643">
        <f t="shared" si="67"/>
        <v>1</v>
      </c>
      <c r="K101" s="636">
        <f t="shared" si="68"/>
        <v>685940.55999999994</v>
      </c>
      <c r="L101" s="636">
        <f t="shared" si="69"/>
        <v>0</v>
      </c>
      <c r="M101" s="636">
        <f t="shared" si="70"/>
        <v>685940.55999999994</v>
      </c>
      <c r="N101" s="644"/>
    </row>
    <row r="102" spans="1:15">
      <c r="A102" s="717">
        <v>1.04</v>
      </c>
      <c r="B102" s="718" t="s">
        <v>592</v>
      </c>
      <c r="C102" s="717">
        <v>2.38</v>
      </c>
      <c r="D102" s="719" t="s">
        <v>38</v>
      </c>
      <c r="E102" s="720">
        <v>43456.03</v>
      </c>
      <c r="F102" s="641">
        <f t="shared" si="66"/>
        <v>103425.3514</v>
      </c>
      <c r="G102" s="632">
        <v>2.38</v>
      </c>
      <c r="H102" s="642"/>
      <c r="I102" s="642">
        <f t="shared" si="71"/>
        <v>2.38</v>
      </c>
      <c r="J102" s="643">
        <f t="shared" si="67"/>
        <v>1</v>
      </c>
      <c r="K102" s="636">
        <f t="shared" si="68"/>
        <v>103425.3514</v>
      </c>
      <c r="L102" s="636">
        <f>H102*E102</f>
        <v>0</v>
      </c>
      <c r="M102" s="636">
        <f t="shared" si="70"/>
        <v>103425.3514</v>
      </c>
      <c r="N102" s="644"/>
    </row>
    <row r="103" spans="1:15">
      <c r="A103" s="717">
        <v>1.05</v>
      </c>
      <c r="B103" s="718" t="s">
        <v>594</v>
      </c>
      <c r="C103" s="717">
        <v>64.900000000000006</v>
      </c>
      <c r="D103" s="719" t="s">
        <v>38</v>
      </c>
      <c r="E103" s="720">
        <v>24931.97</v>
      </c>
      <c r="F103" s="641">
        <f t="shared" si="66"/>
        <v>1618084.8530000001</v>
      </c>
      <c r="G103" s="632">
        <v>64.900000000000006</v>
      </c>
      <c r="H103" s="642"/>
      <c r="I103" s="642">
        <f t="shared" si="71"/>
        <v>64.900000000000006</v>
      </c>
      <c r="J103" s="643">
        <f t="shared" si="67"/>
        <v>1</v>
      </c>
      <c r="K103" s="636">
        <f t="shared" si="68"/>
        <v>1618084.8530000001</v>
      </c>
      <c r="L103" s="636">
        <f>H103*E103</f>
        <v>0</v>
      </c>
      <c r="M103" s="636">
        <f t="shared" si="70"/>
        <v>1618084.8530000001</v>
      </c>
      <c r="N103" s="644"/>
    </row>
    <row r="104" spans="1:15">
      <c r="A104" s="714"/>
      <c r="B104" s="721" t="s">
        <v>44</v>
      </c>
      <c r="C104" s="721"/>
      <c r="D104" s="722"/>
      <c r="E104" s="721"/>
      <c r="F104" s="723">
        <f>SUM(F99:F103)</f>
        <v>3513613.6428</v>
      </c>
      <c r="G104" s="632"/>
      <c r="H104" s="642"/>
      <c r="I104" s="642"/>
      <c r="J104" s="652"/>
      <c r="K104" s="657">
        <f>+SUBTOTAL(9,K99:K103)</f>
        <v>3513613.6428</v>
      </c>
      <c r="L104" s="657">
        <f>+SUBTOTAL(9,L99:L103)</f>
        <v>0</v>
      </c>
      <c r="M104" s="657">
        <f t="shared" ref="M104" si="72">+SUBTOTAL(9,M99:M103)</f>
        <v>3513613.6428</v>
      </c>
      <c r="N104" s="644"/>
    </row>
    <row r="105" spans="1:15">
      <c r="A105" s="716">
        <v>2</v>
      </c>
      <c r="B105" s="712" t="s">
        <v>595</v>
      </c>
      <c r="C105" s="713"/>
      <c r="D105" s="714"/>
      <c r="E105" s="713"/>
      <c r="F105" s="715"/>
      <c r="G105" s="632"/>
      <c r="H105" s="642"/>
      <c r="I105" s="642"/>
      <c r="J105" s="652"/>
      <c r="K105" s="636"/>
      <c r="L105" s="636"/>
      <c r="M105" s="636"/>
      <c r="N105" s="644"/>
    </row>
    <row r="106" spans="1:15">
      <c r="A106" s="717">
        <v>2.0099999999999998</v>
      </c>
      <c r="B106" s="718" t="s">
        <v>596</v>
      </c>
      <c r="C106" s="717">
        <v>122.79</v>
      </c>
      <c r="D106" s="719" t="s">
        <v>189</v>
      </c>
      <c r="E106" s="720">
        <v>1479.5</v>
      </c>
      <c r="F106" s="641">
        <f t="shared" ref="F106" si="73">C106*E106</f>
        <v>181667.80500000002</v>
      </c>
      <c r="G106" s="632">
        <v>122.79</v>
      </c>
      <c r="H106" s="642"/>
      <c r="I106" s="642">
        <f>G106+H106</f>
        <v>122.79</v>
      </c>
      <c r="J106" s="643">
        <f t="shared" ref="J106" si="74">I106/C106</f>
        <v>1</v>
      </c>
      <c r="K106" s="636">
        <f t="shared" ref="K106" si="75">G106*E106</f>
        <v>181667.80500000002</v>
      </c>
      <c r="L106" s="636">
        <f>H106*E106</f>
        <v>0</v>
      </c>
      <c r="M106" s="636">
        <f t="shared" ref="M106" si="76">K106+L106</f>
        <v>181667.80500000002</v>
      </c>
      <c r="N106" s="644"/>
    </row>
    <row r="107" spans="1:15">
      <c r="A107" s="714"/>
      <c r="B107" s="721" t="s">
        <v>44</v>
      </c>
      <c r="C107" s="721"/>
      <c r="D107" s="722"/>
      <c r="E107" s="721"/>
      <c r="F107" s="723">
        <f>F106</f>
        <v>181667.80500000002</v>
      </c>
      <c r="G107" s="632"/>
      <c r="H107" s="642"/>
      <c r="I107" s="642"/>
      <c r="J107" s="652"/>
      <c r="K107" s="657">
        <f>+SUBTOTAL(9,K106)</f>
        <v>181667.80500000002</v>
      </c>
      <c r="L107" s="657">
        <f>+SUBTOTAL(9,L106)</f>
        <v>0</v>
      </c>
      <c r="M107" s="657">
        <f>+SUBTOTAL(9,M106)</f>
        <v>181667.80500000002</v>
      </c>
      <c r="N107" s="644"/>
    </row>
    <row r="108" spans="1:15">
      <c r="A108" s="716">
        <v>3</v>
      </c>
      <c r="B108" s="712" t="s">
        <v>597</v>
      </c>
      <c r="C108" s="713"/>
      <c r="D108" s="714"/>
      <c r="E108" s="713"/>
      <c r="F108" s="715"/>
      <c r="G108" s="632"/>
      <c r="H108" s="642"/>
      <c r="I108" s="642"/>
      <c r="J108" s="652"/>
      <c r="K108" s="636"/>
      <c r="L108" s="636"/>
      <c r="M108" s="636"/>
      <c r="N108" s="644"/>
      <c r="O108" s="724"/>
    </row>
    <row r="109" spans="1:15">
      <c r="A109" s="717">
        <v>3.01</v>
      </c>
      <c r="B109" s="718" t="s">
        <v>598</v>
      </c>
      <c r="C109" s="725">
        <v>1316.75</v>
      </c>
      <c r="D109" s="719" t="s">
        <v>189</v>
      </c>
      <c r="E109" s="726">
        <v>64.19</v>
      </c>
      <c r="F109" s="641">
        <f t="shared" ref="F109:F111" si="77">C109*E109</f>
        <v>84522.182499999995</v>
      </c>
      <c r="G109" s="632">
        <v>1316.75</v>
      </c>
      <c r="H109" s="642"/>
      <c r="I109" s="642">
        <f>G109+H109</f>
        <v>1316.75</v>
      </c>
      <c r="J109" s="643">
        <f t="shared" ref="J109:J111" si="78">I109/C109</f>
        <v>1</v>
      </c>
      <c r="K109" s="636">
        <f t="shared" ref="K109:K111" si="79">G109*E109</f>
        <v>84522.182499999995</v>
      </c>
      <c r="L109" s="636">
        <f>H109*E109</f>
        <v>0</v>
      </c>
      <c r="M109" s="636">
        <f t="shared" ref="M109:M111" si="80">K109+L109</f>
        <v>84522.182499999995</v>
      </c>
      <c r="N109" s="644"/>
    </row>
    <row r="110" spans="1:15" ht="25.5">
      <c r="A110" s="717">
        <v>3.02</v>
      </c>
      <c r="B110" s="718" t="s">
        <v>599</v>
      </c>
      <c r="C110" s="717">
        <v>245.58</v>
      </c>
      <c r="D110" s="719" t="s">
        <v>189</v>
      </c>
      <c r="E110" s="727">
        <v>461.37</v>
      </c>
      <c r="F110" s="641">
        <f t="shared" si="77"/>
        <v>113303.24460000001</v>
      </c>
      <c r="G110" s="632">
        <v>245.58</v>
      </c>
      <c r="H110" s="642"/>
      <c r="I110" s="642">
        <f t="shared" ref="I110:I111" si="81">G110+H110</f>
        <v>245.58</v>
      </c>
      <c r="J110" s="643">
        <f t="shared" si="78"/>
        <v>1</v>
      </c>
      <c r="K110" s="636">
        <f t="shared" si="79"/>
        <v>113303.24460000001</v>
      </c>
      <c r="L110" s="636">
        <f t="shared" ref="L110:L111" si="82">H110*E110</f>
        <v>0</v>
      </c>
      <c r="M110" s="636">
        <f t="shared" si="80"/>
        <v>113303.24460000001</v>
      </c>
      <c r="N110" s="644"/>
    </row>
    <row r="111" spans="1:15">
      <c r="A111" s="717">
        <v>3.03</v>
      </c>
      <c r="B111" s="718" t="s">
        <v>600</v>
      </c>
      <c r="C111" s="717">
        <v>27</v>
      </c>
      <c r="D111" s="719" t="s">
        <v>30</v>
      </c>
      <c r="E111" s="727">
        <v>137.16999999999999</v>
      </c>
      <c r="F111" s="641">
        <f t="shared" si="77"/>
        <v>3703.5899999999997</v>
      </c>
      <c r="G111" s="632">
        <v>27</v>
      </c>
      <c r="H111" s="642"/>
      <c r="I111" s="642">
        <f t="shared" si="81"/>
        <v>27</v>
      </c>
      <c r="J111" s="643">
        <f t="shared" si="78"/>
        <v>1</v>
      </c>
      <c r="K111" s="636">
        <f t="shared" si="79"/>
        <v>3703.5899999999997</v>
      </c>
      <c r="L111" s="636">
        <f t="shared" si="82"/>
        <v>0</v>
      </c>
      <c r="M111" s="636">
        <f t="shared" si="80"/>
        <v>3703.5899999999997</v>
      </c>
      <c r="N111" s="644"/>
    </row>
    <row r="112" spans="1:15">
      <c r="A112" s="714"/>
      <c r="B112" s="721" t="s">
        <v>44</v>
      </c>
      <c r="C112" s="721"/>
      <c r="D112" s="722"/>
      <c r="E112" s="721"/>
      <c r="F112" s="723">
        <f>SUM(F109:F111)-0.01</f>
        <v>201529.00709999999</v>
      </c>
      <c r="G112" s="632"/>
      <c r="H112" s="642"/>
      <c r="I112" s="642"/>
      <c r="J112" s="652"/>
      <c r="K112" s="657">
        <f>SUM(K109:K111)-0.01</f>
        <v>201529.00709999999</v>
      </c>
      <c r="L112" s="657">
        <f>+SUBTOTAL(9,L109:L111)</f>
        <v>0</v>
      </c>
      <c r="M112" s="657">
        <f>+SUBTOTAL(9,M109:M111)-0.01</f>
        <v>201529.00709999999</v>
      </c>
      <c r="N112" s="644"/>
    </row>
    <row r="113" spans="1:14">
      <c r="A113" s="716">
        <v>4</v>
      </c>
      <c r="B113" s="712" t="s">
        <v>601</v>
      </c>
      <c r="C113" s="713"/>
      <c r="D113" s="714"/>
      <c r="E113" s="713"/>
      <c r="F113" s="715"/>
      <c r="G113" s="632"/>
      <c r="H113" s="642"/>
      <c r="I113" s="642"/>
      <c r="J113" s="652"/>
      <c r="K113" s="636"/>
      <c r="L113" s="636"/>
      <c r="M113" s="636"/>
      <c r="N113" s="644"/>
    </row>
    <row r="114" spans="1:14">
      <c r="A114" s="717">
        <v>4.01</v>
      </c>
      <c r="B114" s="718" t="s">
        <v>602</v>
      </c>
      <c r="C114" s="717">
        <v>32</v>
      </c>
      <c r="D114" s="719" t="s">
        <v>189</v>
      </c>
      <c r="E114" s="720">
        <v>1798.75</v>
      </c>
      <c r="F114" s="720">
        <v>57560</v>
      </c>
      <c r="G114" s="632"/>
      <c r="H114" s="642"/>
      <c r="I114" s="642"/>
      <c r="J114" s="643"/>
      <c r="K114" s="636">
        <v>0</v>
      </c>
      <c r="L114" s="636">
        <f t="shared" ref="L114:L119" si="83">H114*E114</f>
        <v>0</v>
      </c>
      <c r="M114" s="636">
        <f t="shared" ref="M114:M119" si="84">K114+L114</f>
        <v>0</v>
      </c>
      <c r="N114" s="644"/>
    </row>
    <row r="115" spans="1:14">
      <c r="A115" s="717">
        <v>4.0199999999999996</v>
      </c>
      <c r="B115" s="718" t="s">
        <v>603</v>
      </c>
      <c r="C115" s="717">
        <v>2.6</v>
      </c>
      <c r="D115" s="719" t="s">
        <v>189</v>
      </c>
      <c r="E115" s="720">
        <v>1748.75</v>
      </c>
      <c r="F115" s="720">
        <v>4546.75</v>
      </c>
      <c r="G115" s="632"/>
      <c r="H115" s="642"/>
      <c r="I115" s="642"/>
      <c r="J115" s="643"/>
      <c r="K115" s="636">
        <v>0</v>
      </c>
      <c r="L115" s="636">
        <f t="shared" si="83"/>
        <v>0</v>
      </c>
      <c r="M115" s="636">
        <f t="shared" si="84"/>
        <v>0</v>
      </c>
      <c r="N115" s="644"/>
    </row>
    <row r="116" spans="1:14">
      <c r="A116" s="717">
        <v>4.03</v>
      </c>
      <c r="B116" s="718" t="s">
        <v>604</v>
      </c>
      <c r="C116" s="725">
        <v>3240.05</v>
      </c>
      <c r="D116" s="719" t="s">
        <v>605</v>
      </c>
      <c r="E116" s="727">
        <v>649</v>
      </c>
      <c r="F116" s="720">
        <v>2102793.23</v>
      </c>
      <c r="G116" s="632"/>
      <c r="H116" s="642"/>
      <c r="I116" s="642"/>
      <c r="J116" s="643"/>
      <c r="K116" s="636">
        <v>0</v>
      </c>
      <c r="L116" s="636">
        <f t="shared" si="83"/>
        <v>0</v>
      </c>
      <c r="M116" s="636">
        <f t="shared" si="84"/>
        <v>0</v>
      </c>
      <c r="N116" s="644"/>
    </row>
    <row r="117" spans="1:14">
      <c r="A117" s="717">
        <v>4.04</v>
      </c>
      <c r="B117" s="718" t="s">
        <v>606</v>
      </c>
      <c r="C117" s="717">
        <v>144</v>
      </c>
      <c r="D117" s="719" t="s">
        <v>189</v>
      </c>
      <c r="E117" s="720">
        <v>6983.24</v>
      </c>
      <c r="F117" s="720">
        <v>1005586.56</v>
      </c>
      <c r="G117" s="632"/>
      <c r="H117" s="642"/>
      <c r="I117" s="642"/>
      <c r="J117" s="643"/>
      <c r="K117" s="636">
        <v>0</v>
      </c>
      <c r="L117" s="636">
        <f t="shared" si="83"/>
        <v>0</v>
      </c>
      <c r="M117" s="636">
        <f t="shared" si="84"/>
        <v>0</v>
      </c>
      <c r="N117" s="644"/>
    </row>
    <row r="118" spans="1:14">
      <c r="A118" s="717">
        <v>4.05</v>
      </c>
      <c r="B118" s="718" t="s">
        <v>607</v>
      </c>
      <c r="C118" s="717">
        <v>59.19</v>
      </c>
      <c r="D118" s="719" t="s">
        <v>189</v>
      </c>
      <c r="E118" s="720">
        <v>1282.6300000000001</v>
      </c>
      <c r="F118" s="720">
        <v>75918.720000000001</v>
      </c>
      <c r="G118" s="632"/>
      <c r="H118" s="642"/>
      <c r="I118" s="642"/>
      <c r="J118" s="643"/>
      <c r="K118" s="636">
        <v>0</v>
      </c>
      <c r="L118" s="636">
        <f t="shared" si="83"/>
        <v>0</v>
      </c>
      <c r="M118" s="636">
        <f t="shared" si="84"/>
        <v>0</v>
      </c>
      <c r="N118" s="644"/>
    </row>
    <row r="119" spans="1:14">
      <c r="A119" s="717">
        <v>4.0599999999999996</v>
      </c>
      <c r="B119" s="718" t="s">
        <v>608</v>
      </c>
      <c r="C119" s="717">
        <v>35</v>
      </c>
      <c r="D119" s="719" t="s">
        <v>189</v>
      </c>
      <c r="E119" s="720">
        <v>1441.41</v>
      </c>
      <c r="F119" s="720">
        <v>50449.36</v>
      </c>
      <c r="G119" s="632"/>
      <c r="H119" s="642"/>
      <c r="I119" s="642"/>
      <c r="J119" s="643"/>
      <c r="K119" s="636">
        <v>0</v>
      </c>
      <c r="L119" s="636">
        <f t="shared" si="83"/>
        <v>0</v>
      </c>
      <c r="M119" s="636">
        <f t="shared" si="84"/>
        <v>0</v>
      </c>
      <c r="N119" s="644"/>
    </row>
    <row r="120" spans="1:14">
      <c r="A120" s="714"/>
      <c r="B120" s="721" t="s">
        <v>44</v>
      </c>
      <c r="C120" s="721"/>
      <c r="D120" s="722"/>
      <c r="E120" s="721"/>
      <c r="F120" s="723">
        <f>SUM(F114:F119)</f>
        <v>3296854.62</v>
      </c>
      <c r="G120" s="632"/>
      <c r="H120" s="642"/>
      <c r="I120" s="642"/>
      <c r="J120" s="652"/>
      <c r="K120" s="657">
        <f>+SUBTOTAL(9,K114:K119)</f>
        <v>0</v>
      </c>
      <c r="L120" s="657">
        <f t="shared" ref="L120:M120" si="85">+SUBTOTAL(9,L114:L119)</f>
        <v>0</v>
      </c>
      <c r="M120" s="657">
        <f t="shared" si="85"/>
        <v>0</v>
      </c>
      <c r="N120" s="644"/>
    </row>
    <row r="121" spans="1:14">
      <c r="A121" s="716">
        <v>5</v>
      </c>
      <c r="B121" s="712" t="s">
        <v>609</v>
      </c>
      <c r="C121" s="713"/>
      <c r="D121" s="714"/>
      <c r="E121" s="713"/>
      <c r="F121" s="715"/>
      <c r="G121" s="632"/>
      <c r="H121" s="642"/>
      <c r="I121" s="642"/>
      <c r="J121" s="652"/>
      <c r="K121" s="636"/>
      <c r="L121" s="636"/>
      <c r="M121" s="636"/>
      <c r="N121" s="644"/>
    </row>
    <row r="122" spans="1:14">
      <c r="A122" s="717">
        <v>5.01</v>
      </c>
      <c r="B122" s="718" t="s">
        <v>610</v>
      </c>
      <c r="C122" s="717">
        <v>590</v>
      </c>
      <c r="D122" s="719" t="s">
        <v>189</v>
      </c>
      <c r="E122" s="720">
        <v>1800.51</v>
      </c>
      <c r="F122" s="720">
        <v>1062300.8999999999</v>
      </c>
      <c r="G122" s="632"/>
      <c r="H122" s="642"/>
      <c r="I122" s="642"/>
      <c r="J122" s="643"/>
      <c r="K122" s="636">
        <v>0</v>
      </c>
      <c r="L122" s="636">
        <f t="shared" ref="L122:L124" si="86">H122*E122</f>
        <v>0</v>
      </c>
      <c r="M122" s="636">
        <f t="shared" ref="M122:M124" si="87">K122+L122</f>
        <v>0</v>
      </c>
      <c r="N122" s="644"/>
    </row>
    <row r="123" spans="1:14">
      <c r="A123" s="717">
        <v>5.0199999999999996</v>
      </c>
      <c r="B123" s="718" t="s">
        <v>611</v>
      </c>
      <c r="C123" s="717">
        <v>265</v>
      </c>
      <c r="D123" s="719" t="s">
        <v>30</v>
      </c>
      <c r="E123" s="727">
        <v>277.51</v>
      </c>
      <c r="F123" s="720">
        <v>73540.149999999994</v>
      </c>
      <c r="G123" s="632"/>
      <c r="H123" s="642"/>
      <c r="I123" s="642"/>
      <c r="J123" s="643"/>
      <c r="K123" s="636">
        <v>0</v>
      </c>
      <c r="L123" s="636">
        <f t="shared" si="86"/>
        <v>0</v>
      </c>
      <c r="M123" s="636">
        <f t="shared" si="87"/>
        <v>0</v>
      </c>
      <c r="N123" s="644"/>
    </row>
    <row r="124" spans="1:14">
      <c r="A124" s="717">
        <v>5.03</v>
      </c>
      <c r="B124" s="718" t="s">
        <v>612</v>
      </c>
      <c r="C124" s="717">
        <v>35</v>
      </c>
      <c r="D124" s="719" t="s">
        <v>189</v>
      </c>
      <c r="E124" s="720">
        <v>1948.43</v>
      </c>
      <c r="F124" s="720">
        <v>68195.05</v>
      </c>
      <c r="G124" s="632"/>
      <c r="H124" s="642"/>
      <c r="I124" s="642"/>
      <c r="J124" s="643"/>
      <c r="K124" s="636">
        <v>0</v>
      </c>
      <c r="L124" s="636">
        <f t="shared" si="86"/>
        <v>0</v>
      </c>
      <c r="M124" s="636">
        <f t="shared" si="87"/>
        <v>0</v>
      </c>
      <c r="N124" s="644"/>
    </row>
    <row r="125" spans="1:14">
      <c r="A125" s="714"/>
      <c r="B125" s="721" t="s">
        <v>44</v>
      </c>
      <c r="C125" s="721"/>
      <c r="D125" s="722"/>
      <c r="E125" s="721"/>
      <c r="F125" s="723">
        <f>SUM(F122:F124)</f>
        <v>1204036.0999999999</v>
      </c>
      <c r="G125" s="632"/>
      <c r="H125" s="642"/>
      <c r="I125" s="642"/>
      <c r="J125" s="652"/>
      <c r="K125" s="657">
        <f t="shared" ref="K125:M125" si="88">+SUBTOTAL(9,K122:K124)</f>
        <v>0</v>
      </c>
      <c r="L125" s="657">
        <f t="shared" si="88"/>
        <v>0</v>
      </c>
      <c r="M125" s="657">
        <f t="shared" si="88"/>
        <v>0</v>
      </c>
      <c r="N125" s="644"/>
    </row>
    <row r="126" spans="1:14">
      <c r="A126" s="716">
        <v>6</v>
      </c>
      <c r="B126" s="712" t="s">
        <v>613</v>
      </c>
      <c r="C126" s="713"/>
      <c r="D126" s="714"/>
      <c r="E126" s="713"/>
      <c r="F126" s="715"/>
      <c r="G126" s="632"/>
      <c r="H126" s="642"/>
      <c r="I126" s="642"/>
      <c r="J126" s="652"/>
      <c r="K126" s="636"/>
      <c r="L126" s="636"/>
      <c r="M126" s="636"/>
      <c r="N126" s="644"/>
    </row>
    <row r="127" spans="1:14" ht="25.5">
      <c r="A127" s="717">
        <v>6.01</v>
      </c>
      <c r="B127" s="718" t="s">
        <v>614</v>
      </c>
      <c r="C127" s="717">
        <v>3</v>
      </c>
      <c r="D127" s="719" t="s">
        <v>32</v>
      </c>
      <c r="E127" s="720">
        <v>40655.199999999997</v>
      </c>
      <c r="F127" s="720">
        <v>121965.6</v>
      </c>
      <c r="G127" s="632"/>
      <c r="H127" s="642"/>
      <c r="I127" s="642"/>
      <c r="J127" s="652"/>
      <c r="K127" s="636"/>
      <c r="L127" s="636"/>
      <c r="M127" s="636"/>
      <c r="N127" s="644"/>
    </row>
    <row r="128" spans="1:14">
      <c r="A128" s="717">
        <v>6.02</v>
      </c>
      <c r="B128" s="718" t="s">
        <v>615</v>
      </c>
      <c r="C128" s="717">
        <v>3</v>
      </c>
      <c r="D128" s="719" t="s">
        <v>32</v>
      </c>
      <c r="E128" s="720">
        <v>25259.82</v>
      </c>
      <c r="F128" s="720">
        <v>75779.460000000006</v>
      </c>
      <c r="G128" s="632"/>
      <c r="H128" s="642"/>
      <c r="I128" s="642"/>
      <c r="J128" s="652"/>
      <c r="K128" s="636"/>
      <c r="L128" s="636"/>
      <c r="M128" s="636"/>
      <c r="N128" s="644"/>
    </row>
    <row r="129" spans="1:14">
      <c r="A129" s="717">
        <v>6.03</v>
      </c>
      <c r="B129" s="718" t="s">
        <v>616</v>
      </c>
      <c r="C129" s="717">
        <v>1</v>
      </c>
      <c r="D129" s="719" t="s">
        <v>32</v>
      </c>
      <c r="E129" s="720">
        <v>19857.84</v>
      </c>
      <c r="F129" s="720">
        <v>19857.84</v>
      </c>
      <c r="G129" s="632"/>
      <c r="H129" s="642"/>
      <c r="I129" s="642"/>
      <c r="J129" s="652"/>
      <c r="K129" s="636"/>
      <c r="L129" s="636"/>
      <c r="M129" s="636"/>
      <c r="N129" s="644"/>
    </row>
    <row r="130" spans="1:14">
      <c r="A130" s="714"/>
      <c r="B130" s="721" t="s">
        <v>44</v>
      </c>
      <c r="C130" s="721"/>
      <c r="D130" s="722"/>
      <c r="E130" s="721"/>
      <c r="F130" s="723">
        <f>SUM(F127:F129)</f>
        <v>217602.9</v>
      </c>
      <c r="G130" s="632"/>
      <c r="H130" s="642"/>
      <c r="I130" s="642"/>
      <c r="J130" s="652"/>
      <c r="K130" s="636"/>
      <c r="L130" s="636"/>
      <c r="M130" s="636"/>
      <c r="N130" s="644"/>
    </row>
    <row r="131" spans="1:14">
      <c r="A131" s="716">
        <v>7</v>
      </c>
      <c r="B131" s="712" t="s">
        <v>617</v>
      </c>
      <c r="C131" s="713"/>
      <c r="D131" s="714"/>
      <c r="E131" s="713"/>
      <c r="F131" s="715"/>
      <c r="G131" s="632"/>
      <c r="H131" s="642"/>
      <c r="I131" s="642"/>
      <c r="J131" s="652"/>
      <c r="K131" s="636"/>
      <c r="L131" s="636"/>
      <c r="M131" s="636"/>
      <c r="N131" s="644"/>
    </row>
    <row r="132" spans="1:14" ht="25.5">
      <c r="A132" s="717">
        <v>7.01</v>
      </c>
      <c r="B132" s="718" t="s">
        <v>618</v>
      </c>
      <c r="C132" s="717">
        <v>10.34</v>
      </c>
      <c r="D132" s="719" t="s">
        <v>605</v>
      </c>
      <c r="E132" s="727">
        <v>882.05</v>
      </c>
      <c r="F132" s="720">
        <v>9120.4</v>
      </c>
      <c r="G132" s="632"/>
      <c r="H132" s="642"/>
      <c r="I132" s="642"/>
      <c r="J132" s="652"/>
      <c r="K132" s="636"/>
      <c r="L132" s="636"/>
      <c r="M132" s="636"/>
      <c r="N132" s="644"/>
    </row>
    <row r="133" spans="1:14">
      <c r="A133" s="714"/>
      <c r="B133" s="721" t="s">
        <v>44</v>
      </c>
      <c r="C133" s="721"/>
      <c r="D133" s="722"/>
      <c r="E133" s="721"/>
      <c r="F133" s="723">
        <f>F132</f>
        <v>9120.4</v>
      </c>
      <c r="G133" s="632"/>
      <c r="H133" s="642"/>
      <c r="I133" s="642"/>
      <c r="J133" s="652"/>
      <c r="K133" s="636"/>
      <c r="L133" s="636"/>
      <c r="M133" s="636"/>
      <c r="N133" s="644"/>
    </row>
    <row r="134" spans="1:14">
      <c r="A134" s="716">
        <v>8</v>
      </c>
      <c r="B134" s="712" t="s">
        <v>274</v>
      </c>
      <c r="C134" s="713"/>
      <c r="D134" s="714"/>
      <c r="E134" s="713"/>
      <c r="F134" s="715"/>
      <c r="G134" s="632"/>
      <c r="H134" s="642"/>
      <c r="I134" s="642"/>
      <c r="J134" s="652"/>
      <c r="K134" s="636"/>
      <c r="L134" s="636"/>
      <c r="M134" s="636"/>
      <c r="N134" s="644"/>
    </row>
    <row r="135" spans="1:14">
      <c r="A135" s="717">
        <v>8.01</v>
      </c>
      <c r="B135" s="718" t="s">
        <v>619</v>
      </c>
      <c r="C135" s="717">
        <v>14.96</v>
      </c>
      <c r="D135" s="719" t="s">
        <v>30</v>
      </c>
      <c r="E135" s="720">
        <v>2764.21</v>
      </c>
      <c r="F135" s="720">
        <v>41352.58</v>
      </c>
      <c r="G135" s="632"/>
      <c r="H135" s="642"/>
      <c r="I135" s="642"/>
      <c r="J135" s="652"/>
      <c r="K135" s="636"/>
      <c r="L135" s="636"/>
      <c r="M135" s="636"/>
      <c r="N135" s="644"/>
    </row>
    <row r="136" spans="1:14">
      <c r="A136" s="717">
        <v>8.02</v>
      </c>
      <c r="B136" s="718" t="s">
        <v>620</v>
      </c>
      <c r="C136" s="717">
        <v>4</v>
      </c>
      <c r="D136" s="719" t="s">
        <v>189</v>
      </c>
      <c r="E136" s="720">
        <v>1800.51</v>
      </c>
      <c r="F136" s="720">
        <v>7202.04</v>
      </c>
      <c r="G136" s="632"/>
      <c r="H136" s="642"/>
      <c r="I136" s="642"/>
      <c r="J136" s="652"/>
      <c r="K136" s="636"/>
      <c r="L136" s="636"/>
      <c r="M136" s="636"/>
      <c r="N136" s="644"/>
    </row>
    <row r="137" spans="1:14">
      <c r="A137" s="714"/>
      <c r="B137" s="721" t="s">
        <v>44</v>
      </c>
      <c r="C137" s="721"/>
      <c r="D137" s="722"/>
      <c r="E137" s="721"/>
      <c r="F137" s="723">
        <f>SUM(F135:F136)</f>
        <v>48554.62</v>
      </c>
      <c r="G137" s="632"/>
      <c r="H137" s="642"/>
      <c r="I137" s="642"/>
      <c r="J137" s="652"/>
      <c r="K137" s="636"/>
      <c r="L137" s="636"/>
      <c r="M137" s="636"/>
      <c r="N137" s="644"/>
    </row>
    <row r="138" spans="1:14">
      <c r="A138" s="716">
        <v>9</v>
      </c>
      <c r="B138" s="712" t="s">
        <v>621</v>
      </c>
      <c r="C138" s="713"/>
      <c r="D138" s="714"/>
      <c r="E138" s="713"/>
      <c r="F138" s="715"/>
      <c r="G138" s="632"/>
      <c r="H138" s="642"/>
      <c r="I138" s="642"/>
      <c r="J138" s="652"/>
      <c r="K138" s="636"/>
      <c r="L138" s="636"/>
      <c r="M138" s="636"/>
      <c r="N138" s="644"/>
    </row>
    <row r="139" spans="1:14">
      <c r="A139" s="717">
        <v>9.01</v>
      </c>
      <c r="B139" s="718" t="s">
        <v>622</v>
      </c>
      <c r="C139" s="725">
        <v>1621.52</v>
      </c>
      <c r="D139" s="719" t="s">
        <v>189</v>
      </c>
      <c r="E139" s="727">
        <v>300.42</v>
      </c>
      <c r="F139" s="720">
        <v>487137.04</v>
      </c>
      <c r="G139" s="632"/>
      <c r="H139" s="642"/>
      <c r="I139" s="642"/>
      <c r="J139" s="652"/>
      <c r="K139" s="636"/>
      <c r="L139" s="636"/>
      <c r="M139" s="636"/>
      <c r="N139" s="644"/>
    </row>
    <row r="140" spans="1:14">
      <c r="A140" s="714"/>
      <c r="B140" s="721" t="s">
        <v>44</v>
      </c>
      <c r="C140" s="721"/>
      <c r="D140" s="722"/>
      <c r="E140" s="721"/>
      <c r="F140" s="723">
        <f>F139</f>
        <v>487137.04</v>
      </c>
      <c r="G140" s="632"/>
      <c r="H140" s="642"/>
      <c r="I140" s="642"/>
      <c r="J140" s="652"/>
      <c r="K140" s="636"/>
      <c r="L140" s="636"/>
      <c r="M140" s="636"/>
      <c r="N140" s="644"/>
    </row>
    <row r="141" spans="1:14">
      <c r="A141" s="716">
        <v>10</v>
      </c>
      <c r="B141" s="712" t="s">
        <v>623</v>
      </c>
      <c r="C141" s="713"/>
      <c r="D141" s="714"/>
      <c r="E141" s="713"/>
      <c r="F141" s="715"/>
      <c r="G141" s="632"/>
      <c r="H141" s="642"/>
      <c r="I141" s="642"/>
      <c r="J141" s="652"/>
      <c r="K141" s="636"/>
      <c r="L141" s="636"/>
      <c r="M141" s="636"/>
      <c r="N141" s="644"/>
    </row>
    <row r="142" spans="1:14">
      <c r="A142" s="717">
        <v>10.01</v>
      </c>
      <c r="B142" s="718" t="s">
        <v>624</v>
      </c>
      <c r="C142" s="713"/>
      <c r="D142" s="714"/>
      <c r="E142" s="713"/>
      <c r="F142" s="715"/>
      <c r="G142" s="632"/>
      <c r="H142" s="642"/>
      <c r="I142" s="642"/>
      <c r="J142" s="652"/>
      <c r="K142" s="636"/>
      <c r="L142" s="636"/>
      <c r="M142" s="636"/>
      <c r="N142" s="644"/>
    </row>
    <row r="143" spans="1:14">
      <c r="A143" s="717">
        <v>10.02</v>
      </c>
      <c r="B143" s="718" t="s">
        <v>625</v>
      </c>
      <c r="C143" s="717">
        <v>5.4</v>
      </c>
      <c r="D143" s="719" t="s">
        <v>189</v>
      </c>
      <c r="E143" s="728">
        <v>6543.333333333333</v>
      </c>
      <c r="F143" s="720">
        <v>35334</v>
      </c>
      <c r="G143" s="632">
        <v>1.08</v>
      </c>
      <c r="H143" s="642"/>
      <c r="I143" s="642">
        <f>G143+H143</f>
        <v>1.08</v>
      </c>
      <c r="J143" s="643">
        <f t="shared" ref="J143:J149" si="89">I143/C143</f>
        <v>0.2</v>
      </c>
      <c r="K143" s="636">
        <f t="shared" ref="K143:K154" si="90">G143*E143</f>
        <v>7066.8</v>
      </c>
      <c r="L143" s="636">
        <f t="shared" ref="L143:L154" si="91">H143*E143</f>
        <v>0</v>
      </c>
      <c r="M143" s="636">
        <f t="shared" ref="M143:M154" si="92">K143+L143</f>
        <v>7066.8</v>
      </c>
      <c r="N143" s="644"/>
    </row>
    <row r="144" spans="1:14">
      <c r="A144" s="717">
        <v>10.029999999999999</v>
      </c>
      <c r="B144" s="718" t="s">
        <v>626</v>
      </c>
      <c r="C144" s="717">
        <v>6</v>
      </c>
      <c r="D144" s="719" t="s">
        <v>32</v>
      </c>
      <c r="E144" s="720">
        <v>10994.43</v>
      </c>
      <c r="F144" s="720">
        <v>65966.58</v>
      </c>
      <c r="G144" s="632">
        <v>1.2000000000000002</v>
      </c>
      <c r="H144" s="642"/>
      <c r="I144" s="642">
        <f t="shared" ref="I144:I149" si="93">G144+H144</f>
        <v>1.2000000000000002</v>
      </c>
      <c r="J144" s="643">
        <f t="shared" si="89"/>
        <v>0.20000000000000004</v>
      </c>
      <c r="K144" s="636">
        <f t="shared" si="90"/>
        <v>13193.316000000003</v>
      </c>
      <c r="L144" s="636">
        <f t="shared" si="91"/>
        <v>0</v>
      </c>
      <c r="M144" s="636">
        <f t="shared" si="92"/>
        <v>13193.316000000003</v>
      </c>
      <c r="N144" s="644"/>
    </row>
    <row r="145" spans="1:14">
      <c r="A145" s="717">
        <v>10.039999999999999</v>
      </c>
      <c r="B145" s="718" t="s">
        <v>627</v>
      </c>
      <c r="C145" s="717">
        <v>8</v>
      </c>
      <c r="D145" s="719" t="s">
        <v>32</v>
      </c>
      <c r="E145" s="720">
        <v>12551.71</v>
      </c>
      <c r="F145" s="720">
        <v>100413.68</v>
      </c>
      <c r="G145" s="632">
        <v>1.6</v>
      </c>
      <c r="H145" s="642"/>
      <c r="I145" s="642">
        <f t="shared" si="93"/>
        <v>1.6</v>
      </c>
      <c r="J145" s="643">
        <f t="shared" si="89"/>
        <v>0.2</v>
      </c>
      <c r="K145" s="636">
        <f t="shared" si="90"/>
        <v>20082.736000000001</v>
      </c>
      <c r="L145" s="636">
        <f t="shared" si="91"/>
        <v>0</v>
      </c>
      <c r="M145" s="636">
        <f t="shared" si="92"/>
        <v>20082.736000000001</v>
      </c>
      <c r="N145" s="644"/>
    </row>
    <row r="146" spans="1:14">
      <c r="A146" s="717">
        <v>10.050000000000001</v>
      </c>
      <c r="B146" s="718" t="s">
        <v>628</v>
      </c>
      <c r="C146" s="717">
        <v>2</v>
      </c>
      <c r="D146" s="719" t="s">
        <v>32</v>
      </c>
      <c r="E146" s="720">
        <v>2783.77</v>
      </c>
      <c r="F146" s="720">
        <v>5567.54</v>
      </c>
      <c r="G146" s="632">
        <v>0.4</v>
      </c>
      <c r="H146" s="642"/>
      <c r="I146" s="642">
        <f t="shared" si="93"/>
        <v>0.4</v>
      </c>
      <c r="J146" s="643">
        <f t="shared" si="89"/>
        <v>0.2</v>
      </c>
      <c r="K146" s="636">
        <f t="shared" si="90"/>
        <v>1113.508</v>
      </c>
      <c r="L146" s="636">
        <f t="shared" si="91"/>
        <v>0</v>
      </c>
      <c r="M146" s="636">
        <f t="shared" si="92"/>
        <v>1113.508</v>
      </c>
      <c r="N146" s="644"/>
    </row>
    <row r="147" spans="1:14">
      <c r="A147" s="717">
        <v>10.06</v>
      </c>
      <c r="B147" s="718" t="s">
        <v>629</v>
      </c>
      <c r="C147" s="717">
        <v>2</v>
      </c>
      <c r="D147" s="719" t="s">
        <v>32</v>
      </c>
      <c r="E147" s="720">
        <v>10709.95</v>
      </c>
      <c r="F147" s="720">
        <v>21419.9</v>
      </c>
      <c r="G147" s="632">
        <v>0.4</v>
      </c>
      <c r="H147" s="642"/>
      <c r="I147" s="642">
        <f t="shared" si="93"/>
        <v>0.4</v>
      </c>
      <c r="J147" s="643">
        <f t="shared" si="89"/>
        <v>0.2</v>
      </c>
      <c r="K147" s="636">
        <f t="shared" si="90"/>
        <v>4283.9800000000005</v>
      </c>
      <c r="L147" s="636">
        <f t="shared" si="91"/>
        <v>0</v>
      </c>
      <c r="M147" s="636">
        <f t="shared" si="92"/>
        <v>4283.9800000000005</v>
      </c>
      <c r="N147" s="644"/>
    </row>
    <row r="148" spans="1:14">
      <c r="A148" s="717">
        <v>10.07</v>
      </c>
      <c r="B148" s="718" t="s">
        <v>647</v>
      </c>
      <c r="C148" s="717">
        <v>1</v>
      </c>
      <c r="D148" s="719" t="s">
        <v>32</v>
      </c>
      <c r="E148" s="720">
        <v>2239.4499999999998</v>
      </c>
      <c r="F148" s="720">
        <v>2239.4499999999998</v>
      </c>
      <c r="G148" s="632">
        <v>0.2</v>
      </c>
      <c r="H148" s="642"/>
      <c r="I148" s="642">
        <f t="shared" si="93"/>
        <v>0.2</v>
      </c>
      <c r="J148" s="643">
        <f t="shared" si="89"/>
        <v>0.2</v>
      </c>
      <c r="K148" s="636">
        <f t="shared" si="90"/>
        <v>447.89</v>
      </c>
      <c r="L148" s="636">
        <f t="shared" si="91"/>
        <v>0</v>
      </c>
      <c r="M148" s="636">
        <f t="shared" si="92"/>
        <v>447.89</v>
      </c>
      <c r="N148" s="644"/>
    </row>
    <row r="149" spans="1:14">
      <c r="A149" s="717">
        <v>10.08</v>
      </c>
      <c r="B149" s="718" t="s">
        <v>631</v>
      </c>
      <c r="C149" s="717">
        <v>1</v>
      </c>
      <c r="D149" s="719" t="s">
        <v>88</v>
      </c>
      <c r="E149" s="720">
        <v>135000</v>
      </c>
      <c r="F149" s="720">
        <v>135000</v>
      </c>
      <c r="G149" s="632">
        <v>0.2</v>
      </c>
      <c r="H149" s="642"/>
      <c r="I149" s="642">
        <f t="shared" si="93"/>
        <v>0.2</v>
      </c>
      <c r="J149" s="643">
        <f t="shared" si="89"/>
        <v>0.2</v>
      </c>
      <c r="K149" s="636">
        <f t="shared" si="90"/>
        <v>27000</v>
      </c>
      <c r="L149" s="636">
        <f t="shared" si="91"/>
        <v>0</v>
      </c>
      <c r="M149" s="636">
        <f t="shared" si="92"/>
        <v>27000</v>
      </c>
      <c r="N149" s="644"/>
    </row>
    <row r="150" spans="1:14">
      <c r="A150" s="717">
        <v>10.09</v>
      </c>
      <c r="B150" s="718" t="s">
        <v>632</v>
      </c>
      <c r="C150" s="713"/>
      <c r="D150" s="714"/>
      <c r="E150" s="713"/>
      <c r="F150" s="715"/>
      <c r="G150" s="632"/>
      <c r="H150" s="642"/>
      <c r="I150" s="642"/>
      <c r="J150" s="643"/>
      <c r="K150" s="636">
        <f t="shared" si="90"/>
        <v>0</v>
      </c>
      <c r="L150" s="636"/>
      <c r="M150" s="636"/>
      <c r="N150" s="644"/>
    </row>
    <row r="151" spans="1:14">
      <c r="A151" s="717">
        <v>10.1</v>
      </c>
      <c r="B151" s="718" t="s">
        <v>633</v>
      </c>
      <c r="C151" s="717">
        <v>10</v>
      </c>
      <c r="D151" s="719" t="s">
        <v>353</v>
      </c>
      <c r="E151" s="720">
        <v>2955</v>
      </c>
      <c r="F151" s="720">
        <v>29550</v>
      </c>
      <c r="G151" s="632">
        <v>2</v>
      </c>
      <c r="H151" s="642"/>
      <c r="I151" s="642">
        <f>G151+H151</f>
        <v>2</v>
      </c>
      <c r="J151" s="643">
        <f t="shared" ref="J151:J154" si="94">I151/C151</f>
        <v>0.2</v>
      </c>
      <c r="K151" s="636">
        <f t="shared" si="90"/>
        <v>5910</v>
      </c>
      <c r="L151" s="636">
        <f t="shared" si="91"/>
        <v>0</v>
      </c>
      <c r="M151" s="636">
        <f t="shared" si="92"/>
        <v>5910</v>
      </c>
      <c r="N151" s="644"/>
    </row>
    <row r="152" spans="1:14">
      <c r="A152" s="717">
        <v>10.11</v>
      </c>
      <c r="B152" s="718" t="s">
        <v>625</v>
      </c>
      <c r="C152" s="717">
        <v>1.2</v>
      </c>
      <c r="D152" s="719" t="s">
        <v>189</v>
      </c>
      <c r="E152" s="720">
        <v>6790</v>
      </c>
      <c r="F152" s="720">
        <v>8148</v>
      </c>
      <c r="G152" s="632">
        <v>0.24</v>
      </c>
      <c r="H152" s="642"/>
      <c r="I152" s="642">
        <f t="shared" ref="I152:I154" si="95">G152+H152</f>
        <v>0.24</v>
      </c>
      <c r="J152" s="643">
        <f t="shared" si="94"/>
        <v>0.2</v>
      </c>
      <c r="K152" s="636">
        <f t="shared" si="90"/>
        <v>1629.6</v>
      </c>
      <c r="L152" s="636">
        <f t="shared" si="91"/>
        <v>0</v>
      </c>
      <c r="M152" s="636">
        <f t="shared" si="92"/>
        <v>1629.6</v>
      </c>
      <c r="N152" s="644"/>
    </row>
    <row r="153" spans="1:14">
      <c r="A153" s="717">
        <v>10.119999999999999</v>
      </c>
      <c r="B153" s="718" t="s">
        <v>634</v>
      </c>
      <c r="C153" s="717">
        <v>1</v>
      </c>
      <c r="D153" s="719" t="s">
        <v>32</v>
      </c>
      <c r="E153" s="720">
        <v>14106.81</v>
      </c>
      <c r="F153" s="720">
        <v>14106.81</v>
      </c>
      <c r="G153" s="632">
        <v>0.2</v>
      </c>
      <c r="H153" s="642"/>
      <c r="I153" s="642">
        <f t="shared" si="95"/>
        <v>0.2</v>
      </c>
      <c r="J153" s="643">
        <f t="shared" si="94"/>
        <v>0.2</v>
      </c>
      <c r="K153" s="636">
        <f t="shared" si="90"/>
        <v>2821.3620000000001</v>
      </c>
      <c r="L153" s="636">
        <f t="shared" si="91"/>
        <v>0</v>
      </c>
      <c r="M153" s="636">
        <f t="shared" si="92"/>
        <v>2821.3620000000001</v>
      </c>
      <c r="N153" s="644"/>
    </row>
    <row r="154" spans="1:14">
      <c r="A154" s="717">
        <v>10.130000000000001</v>
      </c>
      <c r="B154" s="718" t="s">
        <v>647</v>
      </c>
      <c r="C154" s="717">
        <v>1</v>
      </c>
      <c r="D154" s="719" t="s">
        <v>32</v>
      </c>
      <c r="E154" s="720">
        <v>2239.4499999999998</v>
      </c>
      <c r="F154" s="720">
        <v>2239.4499999999998</v>
      </c>
      <c r="G154" s="632">
        <v>0.2</v>
      </c>
      <c r="H154" s="642"/>
      <c r="I154" s="642">
        <f t="shared" si="95"/>
        <v>0.2</v>
      </c>
      <c r="J154" s="643">
        <f t="shared" si="94"/>
        <v>0.2</v>
      </c>
      <c r="K154" s="636">
        <f t="shared" si="90"/>
        <v>447.89</v>
      </c>
      <c r="L154" s="636">
        <f t="shared" si="91"/>
        <v>0</v>
      </c>
      <c r="M154" s="636">
        <f t="shared" si="92"/>
        <v>447.89</v>
      </c>
      <c r="N154" s="644"/>
    </row>
    <row r="155" spans="1:14">
      <c r="A155" s="714"/>
      <c r="B155" s="721" t="s">
        <v>44</v>
      </c>
      <c r="C155" s="721"/>
      <c r="D155" s="722"/>
      <c r="E155" s="721"/>
      <c r="F155" s="723">
        <f>SUM(F143:F154)</f>
        <v>419985.41000000003</v>
      </c>
      <c r="G155" s="632"/>
      <c r="H155" s="642"/>
      <c r="I155" s="642"/>
      <c r="J155" s="652"/>
      <c r="K155" s="657">
        <f>SUM(K143:K154)</f>
        <v>83997.082000000009</v>
      </c>
      <c r="L155" s="657">
        <f>+SUBTOTAL(9,L143:L154)</f>
        <v>0</v>
      </c>
      <c r="M155" s="657">
        <f>+SUBTOTAL(9,M143:M154)</f>
        <v>83997.082000000009</v>
      </c>
      <c r="N155" s="644"/>
    </row>
    <row r="156" spans="1:14">
      <c r="A156" s="716">
        <v>11</v>
      </c>
      <c r="B156" s="712" t="s">
        <v>636</v>
      </c>
      <c r="C156" s="713"/>
      <c r="D156" s="714"/>
      <c r="E156" s="713"/>
      <c r="F156" s="715"/>
      <c r="G156" s="632"/>
      <c r="H156" s="642"/>
      <c r="I156" s="642"/>
      <c r="J156" s="652"/>
      <c r="K156" s="636"/>
      <c r="L156" s="636"/>
      <c r="M156" s="636"/>
      <c r="N156" s="644"/>
    </row>
    <row r="157" spans="1:14">
      <c r="A157" s="717">
        <v>11.01</v>
      </c>
      <c r="B157" s="718" t="s">
        <v>637</v>
      </c>
      <c r="C157" s="717">
        <v>50</v>
      </c>
      <c r="D157" s="719" t="s">
        <v>32</v>
      </c>
      <c r="E157" s="720">
        <v>1473.68</v>
      </c>
      <c r="F157" s="720">
        <v>73684</v>
      </c>
      <c r="G157" s="632">
        <v>10</v>
      </c>
      <c r="H157" s="642"/>
      <c r="I157" s="642">
        <f>G157+H157</f>
        <v>10</v>
      </c>
      <c r="J157" s="643">
        <f t="shared" ref="J157:J165" si="96">I157/C157</f>
        <v>0.2</v>
      </c>
      <c r="K157" s="636">
        <v>14736.800000000001</v>
      </c>
      <c r="L157" s="636">
        <f t="shared" ref="L157:L165" si="97">H157*E157</f>
        <v>0</v>
      </c>
      <c r="M157" s="636">
        <f t="shared" ref="M157:M165" si="98">K157+L157</f>
        <v>14736.800000000001</v>
      </c>
      <c r="N157" s="644"/>
    </row>
    <row r="158" spans="1:14">
      <c r="A158" s="717">
        <v>11.02</v>
      </c>
      <c r="B158" s="718" t="s">
        <v>638</v>
      </c>
      <c r="C158" s="717">
        <v>12</v>
      </c>
      <c r="D158" s="719" t="s">
        <v>32</v>
      </c>
      <c r="E158" s="720">
        <v>1586.98</v>
      </c>
      <c r="F158" s="720">
        <v>19043.71</v>
      </c>
      <c r="G158" s="632">
        <v>2.4000000000000004</v>
      </c>
      <c r="H158" s="642"/>
      <c r="I158" s="642">
        <f t="shared" ref="I158:I165" si="99">G158+H158</f>
        <v>2.4000000000000004</v>
      </c>
      <c r="J158" s="643">
        <f t="shared" si="96"/>
        <v>0.20000000000000004</v>
      </c>
      <c r="K158" s="636">
        <v>3808.7520000000004</v>
      </c>
      <c r="L158" s="636">
        <f t="shared" si="97"/>
        <v>0</v>
      </c>
      <c r="M158" s="636">
        <f t="shared" si="98"/>
        <v>3808.7520000000004</v>
      </c>
      <c r="N158" s="644"/>
    </row>
    <row r="159" spans="1:14">
      <c r="A159" s="717">
        <v>11.03</v>
      </c>
      <c r="B159" s="718" t="s">
        <v>639</v>
      </c>
      <c r="C159" s="717">
        <v>2</v>
      </c>
      <c r="D159" s="719" t="s">
        <v>32</v>
      </c>
      <c r="E159" s="720">
        <v>2082.37</v>
      </c>
      <c r="F159" s="720">
        <v>4164.74</v>
      </c>
      <c r="G159" s="632">
        <v>0.4</v>
      </c>
      <c r="H159" s="642"/>
      <c r="I159" s="642">
        <f t="shared" si="99"/>
        <v>0.4</v>
      </c>
      <c r="J159" s="643">
        <f t="shared" si="96"/>
        <v>0.2</v>
      </c>
      <c r="K159" s="636">
        <v>832.94799999999998</v>
      </c>
      <c r="L159" s="636">
        <f t="shared" si="97"/>
        <v>0</v>
      </c>
      <c r="M159" s="636">
        <f t="shared" si="98"/>
        <v>832.94799999999998</v>
      </c>
      <c r="N159" s="644"/>
    </row>
    <row r="160" spans="1:14">
      <c r="A160" s="717">
        <v>11.04</v>
      </c>
      <c r="B160" s="718" t="s">
        <v>640</v>
      </c>
      <c r="C160" s="717">
        <v>1</v>
      </c>
      <c r="D160" s="719" t="s">
        <v>32</v>
      </c>
      <c r="E160" s="720">
        <v>2452.84</v>
      </c>
      <c r="F160" s="720">
        <v>2452.84</v>
      </c>
      <c r="G160" s="632">
        <v>0.2</v>
      </c>
      <c r="H160" s="642"/>
      <c r="I160" s="642">
        <f t="shared" si="99"/>
        <v>0.2</v>
      </c>
      <c r="J160" s="643">
        <f t="shared" si="96"/>
        <v>0.2</v>
      </c>
      <c r="K160" s="636">
        <v>490.56800000000004</v>
      </c>
      <c r="L160" s="636">
        <f t="shared" si="97"/>
        <v>0</v>
      </c>
      <c r="M160" s="636">
        <f t="shared" si="98"/>
        <v>490.56800000000004</v>
      </c>
      <c r="N160" s="644"/>
    </row>
    <row r="161" spans="1:14">
      <c r="A161" s="717">
        <v>11.05</v>
      </c>
      <c r="B161" s="718" t="s">
        <v>641</v>
      </c>
      <c r="C161" s="717">
        <v>2</v>
      </c>
      <c r="D161" s="719" t="s">
        <v>32</v>
      </c>
      <c r="E161" s="720">
        <v>1944.31</v>
      </c>
      <c r="F161" s="720">
        <v>3888.62</v>
      </c>
      <c r="G161" s="632">
        <v>0.4</v>
      </c>
      <c r="H161" s="642"/>
      <c r="I161" s="642">
        <f t="shared" si="99"/>
        <v>0.4</v>
      </c>
      <c r="J161" s="643">
        <f t="shared" si="96"/>
        <v>0.2</v>
      </c>
      <c r="K161" s="636">
        <v>777.72400000000005</v>
      </c>
      <c r="L161" s="636">
        <f t="shared" si="97"/>
        <v>0</v>
      </c>
      <c r="M161" s="636">
        <f t="shared" si="98"/>
        <v>777.72400000000005</v>
      </c>
      <c r="N161" s="644"/>
    </row>
    <row r="162" spans="1:14">
      <c r="A162" s="717">
        <v>11.06</v>
      </c>
      <c r="B162" s="718" t="s">
        <v>642</v>
      </c>
      <c r="C162" s="717">
        <v>46</v>
      </c>
      <c r="D162" s="719" t="s">
        <v>32</v>
      </c>
      <c r="E162" s="720">
        <v>1859.58</v>
      </c>
      <c r="F162" s="720">
        <v>85540.68</v>
      </c>
      <c r="G162" s="632">
        <v>9.2000000000000011</v>
      </c>
      <c r="H162" s="642"/>
      <c r="I162" s="642">
        <f t="shared" si="99"/>
        <v>9.2000000000000011</v>
      </c>
      <c r="J162" s="643">
        <f t="shared" si="96"/>
        <v>0.2</v>
      </c>
      <c r="K162" s="636">
        <v>17108.136000000002</v>
      </c>
      <c r="L162" s="636">
        <f t="shared" si="97"/>
        <v>0</v>
      </c>
      <c r="M162" s="636">
        <f t="shared" si="98"/>
        <v>17108.136000000002</v>
      </c>
      <c r="N162" s="644"/>
    </row>
    <row r="163" spans="1:14">
      <c r="A163" s="717">
        <v>11.07</v>
      </c>
      <c r="B163" s="718" t="s">
        <v>643</v>
      </c>
      <c r="C163" s="717">
        <v>14</v>
      </c>
      <c r="D163" s="719" t="s">
        <v>32</v>
      </c>
      <c r="E163" s="720">
        <v>3945.79</v>
      </c>
      <c r="F163" s="720">
        <v>55241.06</v>
      </c>
      <c r="G163" s="632">
        <v>2.8000000000000003</v>
      </c>
      <c r="H163" s="642"/>
      <c r="I163" s="642">
        <f t="shared" si="99"/>
        <v>2.8000000000000003</v>
      </c>
      <c r="J163" s="643">
        <f t="shared" si="96"/>
        <v>0.2</v>
      </c>
      <c r="K163" s="636">
        <v>11048.212000000001</v>
      </c>
      <c r="L163" s="636">
        <f t="shared" si="97"/>
        <v>0</v>
      </c>
      <c r="M163" s="636">
        <f t="shared" si="98"/>
        <v>11048.212000000001</v>
      </c>
      <c r="N163" s="644"/>
    </row>
    <row r="164" spans="1:14">
      <c r="A164" s="717">
        <v>11.08</v>
      </c>
      <c r="B164" s="718" t="s">
        <v>644</v>
      </c>
      <c r="C164" s="717">
        <v>36</v>
      </c>
      <c r="D164" s="719" t="s">
        <v>32</v>
      </c>
      <c r="E164" s="720">
        <v>1368.29</v>
      </c>
      <c r="F164" s="720">
        <v>49258.44</v>
      </c>
      <c r="G164" s="632">
        <v>7.2</v>
      </c>
      <c r="H164" s="642"/>
      <c r="I164" s="642">
        <f t="shared" si="99"/>
        <v>7.2</v>
      </c>
      <c r="J164" s="643">
        <f t="shared" si="96"/>
        <v>0.2</v>
      </c>
      <c r="K164" s="636">
        <v>9851.6880000000001</v>
      </c>
      <c r="L164" s="636">
        <f t="shared" si="97"/>
        <v>0</v>
      </c>
      <c r="M164" s="636">
        <f t="shared" si="98"/>
        <v>9851.6880000000001</v>
      </c>
      <c r="N164" s="644"/>
    </row>
    <row r="165" spans="1:14">
      <c r="A165" s="729">
        <v>11.09</v>
      </c>
      <c r="B165" s="730" t="s">
        <v>645</v>
      </c>
      <c r="C165" s="729">
        <v>1</v>
      </c>
      <c r="D165" s="731" t="s">
        <v>32</v>
      </c>
      <c r="E165" s="732">
        <v>16939.810000000001</v>
      </c>
      <c r="F165" s="732">
        <v>16939.810000000001</v>
      </c>
      <c r="G165" s="632">
        <v>0.2</v>
      </c>
      <c r="H165" s="642"/>
      <c r="I165" s="642">
        <f t="shared" si="99"/>
        <v>0.2</v>
      </c>
      <c r="J165" s="643">
        <f t="shared" si="96"/>
        <v>0.2</v>
      </c>
      <c r="K165" s="636">
        <v>3387.9620000000004</v>
      </c>
      <c r="L165" s="636">
        <f t="shared" si="97"/>
        <v>0</v>
      </c>
      <c r="M165" s="636">
        <f t="shared" si="98"/>
        <v>3387.9620000000004</v>
      </c>
      <c r="N165" s="644"/>
    </row>
    <row r="166" spans="1:14">
      <c r="A166" s="702"/>
      <c r="B166" s="706" t="s">
        <v>44</v>
      </c>
      <c r="C166" s="707"/>
      <c r="D166" s="708"/>
      <c r="E166" s="709"/>
      <c r="F166" s="710">
        <f>SUM(F157:F165)</f>
        <v>310213.89999999997</v>
      </c>
      <c r="G166" s="632"/>
      <c r="H166" s="642"/>
      <c r="I166" s="642"/>
      <c r="J166" s="652"/>
      <c r="K166" s="657">
        <f>+SUBTOTAL(9,K157:K165)</f>
        <v>62042.79</v>
      </c>
      <c r="L166" s="657">
        <f>+SUBTOTAL(9,L157:L165)</f>
        <v>0</v>
      </c>
      <c r="M166" s="657">
        <f>+SUBTOTAL(9,M157:M165)</f>
        <v>62042.79</v>
      </c>
      <c r="N166" s="644"/>
    </row>
    <row r="167" spans="1:14">
      <c r="A167" s="733" t="s">
        <v>203</v>
      </c>
      <c r="B167" s="734" t="s">
        <v>648</v>
      </c>
      <c r="C167" s="735"/>
      <c r="D167" s="736"/>
      <c r="E167" s="735"/>
      <c r="F167" s="737"/>
      <c r="G167" s="632"/>
      <c r="H167" s="642"/>
      <c r="I167" s="642"/>
      <c r="J167" s="652"/>
      <c r="K167" s="636"/>
      <c r="L167" s="636"/>
      <c r="M167" s="636"/>
      <c r="N167" s="644"/>
    </row>
    <row r="168" spans="1:14">
      <c r="A168" s="717">
        <v>1</v>
      </c>
      <c r="B168" s="718" t="s">
        <v>585</v>
      </c>
      <c r="C168" s="713"/>
      <c r="D168" s="714"/>
      <c r="E168" s="713"/>
      <c r="F168" s="715"/>
      <c r="G168" s="632"/>
      <c r="H168" s="642"/>
      <c r="I168" s="642"/>
      <c r="J168" s="652"/>
      <c r="K168" s="636"/>
      <c r="L168" s="636"/>
      <c r="M168" s="636"/>
      <c r="N168" s="644"/>
    </row>
    <row r="169" spans="1:14">
      <c r="A169" s="717">
        <v>1.01</v>
      </c>
      <c r="B169" s="718" t="s">
        <v>588</v>
      </c>
      <c r="C169" s="717">
        <v>12.96</v>
      </c>
      <c r="D169" s="719" t="s">
        <v>38</v>
      </c>
      <c r="E169" s="720">
        <v>28921.24</v>
      </c>
      <c r="F169" s="720">
        <v>374819.27</v>
      </c>
      <c r="G169" s="632">
        <v>12.96</v>
      </c>
      <c r="H169" s="642"/>
      <c r="I169" s="642">
        <f>G169+H169</f>
        <v>12.96</v>
      </c>
      <c r="J169" s="643">
        <f t="shared" ref="J169:J173" si="100">I169/C169</f>
        <v>1</v>
      </c>
      <c r="K169" s="636">
        <v>374819.27040000004</v>
      </c>
      <c r="L169" s="636">
        <f>H169*E169</f>
        <v>0</v>
      </c>
      <c r="M169" s="636">
        <f t="shared" ref="M169:M172" si="101">K169+L169</f>
        <v>374819.27040000004</v>
      </c>
      <c r="N169" s="644"/>
    </row>
    <row r="170" spans="1:14">
      <c r="A170" s="717">
        <v>1.02</v>
      </c>
      <c r="B170" s="718" t="s">
        <v>590</v>
      </c>
      <c r="C170" s="717">
        <v>35.380000000000003</v>
      </c>
      <c r="D170" s="719" t="s">
        <v>38</v>
      </c>
      <c r="E170" s="720">
        <v>19346.84</v>
      </c>
      <c r="F170" s="720">
        <v>684491.13</v>
      </c>
      <c r="G170" s="632">
        <v>35.380000000000003</v>
      </c>
      <c r="H170" s="642"/>
      <c r="I170" s="642">
        <f t="shared" ref="I170:I173" si="102">G170+H170</f>
        <v>35.380000000000003</v>
      </c>
      <c r="J170" s="643">
        <f t="shared" si="100"/>
        <v>1</v>
      </c>
      <c r="K170" s="636">
        <v>684491.19920000015</v>
      </c>
      <c r="L170" s="636">
        <f t="shared" ref="L170:L173" si="103">H170*E170</f>
        <v>0</v>
      </c>
      <c r="M170" s="636">
        <f t="shared" si="101"/>
        <v>684491.19920000015</v>
      </c>
      <c r="N170" s="644"/>
    </row>
    <row r="171" spans="1:14">
      <c r="A171" s="717">
        <v>1.03</v>
      </c>
      <c r="B171" s="718" t="s">
        <v>591</v>
      </c>
      <c r="C171" s="717">
        <v>19.13</v>
      </c>
      <c r="D171" s="719" t="s">
        <v>38</v>
      </c>
      <c r="E171" s="720">
        <v>29188.959999999999</v>
      </c>
      <c r="F171" s="720">
        <v>558238.86</v>
      </c>
      <c r="G171" s="632">
        <v>19.13</v>
      </c>
      <c r="H171" s="642"/>
      <c r="I171" s="642">
        <f t="shared" si="102"/>
        <v>19.13</v>
      </c>
      <c r="J171" s="643">
        <f t="shared" si="100"/>
        <v>1</v>
      </c>
      <c r="K171" s="636">
        <v>558384.80479999993</v>
      </c>
      <c r="L171" s="636">
        <f t="shared" si="103"/>
        <v>0</v>
      </c>
      <c r="M171" s="636">
        <f t="shared" si="101"/>
        <v>558384.80479999993</v>
      </c>
      <c r="N171" s="644"/>
    </row>
    <row r="172" spans="1:14">
      <c r="A172" s="717">
        <v>1.04</v>
      </c>
      <c r="B172" s="718" t="s">
        <v>592</v>
      </c>
      <c r="C172" s="717">
        <v>2.38</v>
      </c>
      <c r="D172" s="719" t="s">
        <v>38</v>
      </c>
      <c r="E172" s="720">
        <v>43456.03</v>
      </c>
      <c r="F172" s="720">
        <v>103425.35</v>
      </c>
      <c r="G172" s="632">
        <v>2.38</v>
      </c>
      <c r="H172" s="642"/>
      <c r="I172" s="642">
        <f t="shared" si="102"/>
        <v>2.38</v>
      </c>
      <c r="J172" s="643">
        <f t="shared" si="100"/>
        <v>1</v>
      </c>
      <c r="K172" s="636">
        <v>103425.3514</v>
      </c>
      <c r="L172" s="636">
        <f t="shared" si="103"/>
        <v>0</v>
      </c>
      <c r="M172" s="636">
        <f t="shared" si="101"/>
        <v>103425.3514</v>
      </c>
      <c r="N172" s="644"/>
    </row>
    <row r="173" spans="1:14">
      <c r="A173" s="717">
        <v>1.05</v>
      </c>
      <c r="B173" s="718" t="s">
        <v>594</v>
      </c>
      <c r="C173" s="717">
        <v>55.44</v>
      </c>
      <c r="D173" s="719" t="s">
        <v>38</v>
      </c>
      <c r="E173" s="720">
        <v>24931.97</v>
      </c>
      <c r="F173" s="720">
        <v>1382228.15</v>
      </c>
      <c r="G173" s="632">
        <v>55.44</v>
      </c>
      <c r="H173" s="642"/>
      <c r="I173" s="642">
        <f t="shared" si="102"/>
        <v>55.44</v>
      </c>
      <c r="J173" s="643">
        <f t="shared" si="100"/>
        <v>1</v>
      </c>
      <c r="K173" s="636">
        <v>1382228.4168</v>
      </c>
      <c r="L173" s="636">
        <f t="shared" si="103"/>
        <v>0</v>
      </c>
      <c r="M173" s="636">
        <f>K173+L173</f>
        <v>1382228.4168</v>
      </c>
      <c r="N173" s="644"/>
    </row>
    <row r="174" spans="1:14">
      <c r="A174" s="714"/>
      <c r="B174" s="721" t="s">
        <v>44</v>
      </c>
      <c r="C174" s="738">
        <f>SUM(C169:C173)</f>
        <v>125.28999999999999</v>
      </c>
      <c r="D174" s="722"/>
      <c r="E174" s="721"/>
      <c r="F174" s="723">
        <f>SUM(F169:F173)</f>
        <v>3103202.76</v>
      </c>
      <c r="G174" s="632"/>
      <c r="H174" s="642"/>
      <c r="I174" s="642"/>
      <c r="J174" s="652"/>
      <c r="K174" s="657">
        <f>+SUBTOTAL(9,K169:K173)</f>
        <v>3103349.0426000003</v>
      </c>
      <c r="L174" s="657">
        <f>+SUBTOTAL(9,L169:L173)</f>
        <v>0</v>
      </c>
      <c r="M174" s="657">
        <f>+SUBTOTAL(9,M169:M173)</f>
        <v>3103349.0426000003</v>
      </c>
      <c r="N174" s="644"/>
    </row>
    <row r="175" spans="1:14">
      <c r="A175" s="716">
        <v>2</v>
      </c>
      <c r="B175" s="712" t="s">
        <v>595</v>
      </c>
      <c r="C175" s="713"/>
      <c r="D175" s="714"/>
      <c r="E175" s="713"/>
      <c r="F175" s="715"/>
      <c r="G175" s="632"/>
      <c r="H175" s="642"/>
      <c r="I175" s="642"/>
      <c r="J175" s="652"/>
      <c r="K175" s="636"/>
      <c r="L175" s="636"/>
      <c r="M175" s="636"/>
      <c r="N175" s="644"/>
    </row>
    <row r="176" spans="1:14">
      <c r="A176" s="717">
        <v>2.0099999999999998</v>
      </c>
      <c r="B176" s="718" t="s">
        <v>596</v>
      </c>
      <c r="C176" s="717">
        <v>122.79</v>
      </c>
      <c r="D176" s="719" t="s">
        <v>189</v>
      </c>
      <c r="E176" s="720">
        <v>1479.5</v>
      </c>
      <c r="F176" s="720">
        <v>181667.81</v>
      </c>
      <c r="G176" s="632">
        <v>61.395000000000003</v>
      </c>
      <c r="H176" s="642"/>
      <c r="I176" s="642">
        <f>G176+H176</f>
        <v>61.395000000000003</v>
      </c>
      <c r="J176" s="643">
        <f t="shared" ref="J176" si="104">I176/C176</f>
        <v>0.5</v>
      </c>
      <c r="K176" s="636">
        <v>90833.902500000011</v>
      </c>
      <c r="L176" s="636">
        <f t="shared" ref="L176" si="105">H176*E176</f>
        <v>0</v>
      </c>
      <c r="M176" s="636">
        <f>K176+L176</f>
        <v>90833.902500000011</v>
      </c>
      <c r="N176" s="644"/>
    </row>
    <row r="177" spans="1:14">
      <c r="A177" s="714"/>
      <c r="B177" s="721" t="s">
        <v>44</v>
      </c>
      <c r="C177" s="721"/>
      <c r="D177" s="722"/>
      <c r="E177" s="721"/>
      <c r="F177" s="723">
        <f>F176</f>
        <v>181667.81</v>
      </c>
      <c r="G177" s="632"/>
      <c r="H177" s="642"/>
      <c r="I177" s="642"/>
      <c r="J177" s="652"/>
      <c r="K177" s="657">
        <f t="shared" ref="K177:M177" si="106">+SUBTOTAL(9,K176)</f>
        <v>90833.902500000011</v>
      </c>
      <c r="L177" s="657">
        <f t="shared" si="106"/>
        <v>0</v>
      </c>
      <c r="M177" s="657">
        <f t="shared" si="106"/>
        <v>90833.902500000011</v>
      </c>
      <c r="N177" s="644"/>
    </row>
    <row r="178" spans="1:14">
      <c r="A178" s="716">
        <v>3</v>
      </c>
      <c r="B178" s="712" t="s">
        <v>597</v>
      </c>
      <c r="C178" s="713"/>
      <c r="D178" s="714"/>
      <c r="E178" s="713"/>
      <c r="F178" s="715"/>
      <c r="G178" s="632"/>
      <c r="H178" s="642"/>
      <c r="I178" s="642"/>
      <c r="J178" s="652"/>
      <c r="K178" s="636"/>
      <c r="L178" s="636"/>
      <c r="M178" s="636"/>
      <c r="N178" s="644"/>
    </row>
    <row r="179" spans="1:14">
      <c r="A179" s="717">
        <v>3.01</v>
      </c>
      <c r="B179" s="718" t="s">
        <v>598</v>
      </c>
      <c r="C179" s="725">
        <v>1102.0999999999999</v>
      </c>
      <c r="D179" s="719" t="s">
        <v>189</v>
      </c>
      <c r="E179" s="727">
        <v>64.19</v>
      </c>
      <c r="F179" s="720">
        <v>70743.8</v>
      </c>
      <c r="G179" s="632">
        <v>551.04999999999995</v>
      </c>
      <c r="H179" s="642"/>
      <c r="I179" s="642">
        <f>G179+H179</f>
        <v>551.04999999999995</v>
      </c>
      <c r="J179" s="643">
        <f t="shared" ref="J179:J181" si="107">I179/C179</f>
        <v>0.5</v>
      </c>
      <c r="K179" s="636">
        <v>35371.899499999992</v>
      </c>
      <c r="L179" s="636">
        <f t="shared" ref="L179:L181" si="108">H179*E179</f>
        <v>0</v>
      </c>
      <c r="M179" s="636">
        <f>K179+L179</f>
        <v>35371.899499999992</v>
      </c>
      <c r="N179" s="644"/>
    </row>
    <row r="180" spans="1:14" ht="25.5">
      <c r="A180" s="717">
        <v>3.02</v>
      </c>
      <c r="B180" s="718" t="s">
        <v>599</v>
      </c>
      <c r="C180" s="717">
        <v>245.58</v>
      </c>
      <c r="D180" s="719" t="s">
        <v>189</v>
      </c>
      <c r="E180" s="727">
        <v>461.37</v>
      </c>
      <c r="F180" s="720">
        <v>113303.24</v>
      </c>
      <c r="G180" s="632">
        <v>122.79</v>
      </c>
      <c r="H180" s="642"/>
      <c r="I180" s="642">
        <f t="shared" ref="I180:I181" si="109">G180+H180</f>
        <v>122.79</v>
      </c>
      <c r="J180" s="643">
        <f t="shared" si="107"/>
        <v>0.5</v>
      </c>
      <c r="K180" s="636">
        <v>56651.622300000003</v>
      </c>
      <c r="L180" s="636">
        <f t="shared" si="108"/>
        <v>0</v>
      </c>
      <c r="M180" s="636">
        <f t="shared" ref="M180:M181" si="110">K180+L180</f>
        <v>56651.622300000003</v>
      </c>
      <c r="N180" s="644"/>
    </row>
    <row r="181" spans="1:14">
      <c r="A181" s="717">
        <v>3.03</v>
      </c>
      <c r="B181" s="718" t="s">
        <v>600</v>
      </c>
      <c r="C181" s="717">
        <v>27</v>
      </c>
      <c r="D181" s="719" t="s">
        <v>30</v>
      </c>
      <c r="E181" s="727">
        <v>137.16999999999999</v>
      </c>
      <c r="F181" s="720">
        <v>3703.59</v>
      </c>
      <c r="G181" s="632">
        <v>13.5</v>
      </c>
      <c r="H181" s="642"/>
      <c r="I181" s="642">
        <f t="shared" si="109"/>
        <v>13.5</v>
      </c>
      <c r="J181" s="643">
        <f t="shared" si="107"/>
        <v>0.5</v>
      </c>
      <c r="K181" s="636">
        <v>1851.7949999999998</v>
      </c>
      <c r="L181" s="636">
        <f t="shared" si="108"/>
        <v>0</v>
      </c>
      <c r="M181" s="636">
        <f t="shared" si="110"/>
        <v>1851.7949999999998</v>
      </c>
      <c r="N181" s="644"/>
    </row>
    <row r="182" spans="1:14">
      <c r="A182" s="714"/>
      <c r="B182" s="721" t="s">
        <v>44</v>
      </c>
      <c r="C182" s="721"/>
      <c r="D182" s="722"/>
      <c r="E182" s="721"/>
      <c r="F182" s="723">
        <f>SUM(F179:F181)</f>
        <v>187750.63</v>
      </c>
      <c r="G182" s="632"/>
      <c r="H182" s="642"/>
      <c r="I182" s="642"/>
      <c r="J182" s="652"/>
      <c r="K182" s="657">
        <f>+SUBTOTAL(9,K179:K181)</f>
        <v>93875.316799999986</v>
      </c>
      <c r="L182" s="657">
        <f>+SUBTOTAL(9,L179:L181)</f>
        <v>0</v>
      </c>
      <c r="M182" s="657">
        <f>+SUBTOTAL(9,M179:M181)</f>
        <v>93875.316799999986</v>
      </c>
      <c r="N182" s="644"/>
    </row>
    <row r="183" spans="1:14">
      <c r="A183" s="716">
        <v>4</v>
      </c>
      <c r="B183" s="712" t="s">
        <v>601</v>
      </c>
      <c r="C183" s="713"/>
      <c r="D183" s="714"/>
      <c r="E183" s="713"/>
      <c r="F183" s="715"/>
      <c r="G183" s="632"/>
      <c r="H183" s="642"/>
      <c r="I183" s="642"/>
      <c r="J183" s="652"/>
      <c r="K183" s="636"/>
      <c r="L183" s="636"/>
      <c r="M183" s="636"/>
      <c r="N183" s="644"/>
    </row>
    <row r="184" spans="1:14">
      <c r="A184" s="717">
        <v>4.01</v>
      </c>
      <c r="B184" s="718" t="s">
        <v>602</v>
      </c>
      <c r="C184" s="717">
        <v>32</v>
      </c>
      <c r="D184" s="719" t="s">
        <v>189</v>
      </c>
      <c r="E184" s="720">
        <v>1798.75</v>
      </c>
      <c r="F184" s="720">
        <v>57560</v>
      </c>
      <c r="G184" s="632">
        <v>16</v>
      </c>
      <c r="H184" s="642"/>
      <c r="I184" s="642">
        <f>G184+H184</f>
        <v>16</v>
      </c>
      <c r="J184" s="643">
        <f t="shared" ref="J184:J189" si="111">I184/C184</f>
        <v>0.5</v>
      </c>
      <c r="K184" s="636">
        <v>28780</v>
      </c>
      <c r="L184" s="636">
        <f t="shared" ref="L184:L189" si="112">H184*E184</f>
        <v>0</v>
      </c>
      <c r="M184" s="636">
        <f>K184+L184</f>
        <v>28780</v>
      </c>
      <c r="N184" s="644"/>
    </row>
    <row r="185" spans="1:14">
      <c r="A185" s="717">
        <v>4.0199999999999996</v>
      </c>
      <c r="B185" s="718" t="s">
        <v>603</v>
      </c>
      <c r="C185" s="717">
        <v>2.6</v>
      </c>
      <c r="D185" s="719" t="s">
        <v>189</v>
      </c>
      <c r="E185" s="720">
        <v>1748.75</v>
      </c>
      <c r="F185" s="720">
        <v>4546.75</v>
      </c>
      <c r="G185" s="632">
        <v>1.3</v>
      </c>
      <c r="H185" s="642"/>
      <c r="I185" s="642">
        <f t="shared" ref="I185:I189" si="113">G185+H185</f>
        <v>1.3</v>
      </c>
      <c r="J185" s="643">
        <f t="shared" si="111"/>
        <v>0.5</v>
      </c>
      <c r="K185" s="636">
        <v>2273.375</v>
      </c>
      <c r="L185" s="636">
        <f t="shared" si="112"/>
        <v>0</v>
      </c>
      <c r="M185" s="636">
        <f t="shared" ref="M185:M189" si="114">K185+L185</f>
        <v>2273.375</v>
      </c>
      <c r="N185" s="644"/>
    </row>
    <row r="186" spans="1:14">
      <c r="A186" s="717">
        <v>4.03</v>
      </c>
      <c r="B186" s="718" t="s">
        <v>604</v>
      </c>
      <c r="C186" s="725">
        <v>3240.05</v>
      </c>
      <c r="D186" s="719" t="s">
        <v>605</v>
      </c>
      <c r="E186" s="727">
        <v>649</v>
      </c>
      <c r="F186" s="720">
        <v>2102793.23</v>
      </c>
      <c r="G186" s="632">
        <v>1620.0250000000001</v>
      </c>
      <c r="H186" s="642"/>
      <c r="I186" s="642">
        <f t="shared" si="113"/>
        <v>1620.0250000000001</v>
      </c>
      <c r="J186" s="643">
        <f t="shared" si="111"/>
        <v>0.5</v>
      </c>
      <c r="K186" s="636">
        <v>1051396.2250000001</v>
      </c>
      <c r="L186" s="636">
        <f t="shared" si="112"/>
        <v>0</v>
      </c>
      <c r="M186" s="636">
        <f t="shared" si="114"/>
        <v>1051396.2250000001</v>
      </c>
      <c r="N186" s="644"/>
    </row>
    <row r="187" spans="1:14">
      <c r="A187" s="717">
        <v>4.04</v>
      </c>
      <c r="B187" s="718" t="s">
        <v>606</v>
      </c>
      <c r="C187" s="717">
        <v>167.19</v>
      </c>
      <c r="D187" s="719" t="s">
        <v>189</v>
      </c>
      <c r="E187" s="720">
        <v>6983.24</v>
      </c>
      <c r="F187" s="720">
        <v>1167527.8999999999</v>
      </c>
      <c r="G187" s="632">
        <v>83.594999999999999</v>
      </c>
      <c r="H187" s="642"/>
      <c r="I187" s="642">
        <f t="shared" si="113"/>
        <v>83.594999999999999</v>
      </c>
      <c r="J187" s="643">
        <f t="shared" si="111"/>
        <v>0.5</v>
      </c>
      <c r="K187" s="636">
        <v>583763.94779999997</v>
      </c>
      <c r="L187" s="636">
        <f t="shared" si="112"/>
        <v>0</v>
      </c>
      <c r="M187" s="636">
        <f t="shared" si="114"/>
        <v>583763.94779999997</v>
      </c>
      <c r="N187" s="644"/>
    </row>
    <row r="188" spans="1:14">
      <c r="A188" s="717">
        <v>4.05</v>
      </c>
      <c r="B188" s="718" t="s">
        <v>607</v>
      </c>
      <c r="C188" s="717">
        <v>18</v>
      </c>
      <c r="D188" s="719" t="s">
        <v>189</v>
      </c>
      <c r="E188" s="720">
        <v>1282.6300000000001</v>
      </c>
      <c r="F188" s="720">
        <v>23087.3</v>
      </c>
      <c r="G188" s="632">
        <v>9</v>
      </c>
      <c r="H188" s="642"/>
      <c r="I188" s="642">
        <f t="shared" si="113"/>
        <v>9</v>
      </c>
      <c r="J188" s="643">
        <f t="shared" si="111"/>
        <v>0.5</v>
      </c>
      <c r="K188" s="636">
        <v>11543.670000000002</v>
      </c>
      <c r="L188" s="636">
        <f t="shared" si="112"/>
        <v>0</v>
      </c>
      <c r="M188" s="636">
        <f t="shared" si="114"/>
        <v>11543.670000000002</v>
      </c>
      <c r="N188" s="644"/>
    </row>
    <row r="189" spans="1:14">
      <c r="A189" s="717">
        <v>4.0599999999999996</v>
      </c>
      <c r="B189" s="718" t="s">
        <v>608</v>
      </c>
      <c r="C189" s="717">
        <v>35</v>
      </c>
      <c r="D189" s="719" t="s">
        <v>189</v>
      </c>
      <c r="E189" s="720">
        <v>1441.41</v>
      </c>
      <c r="F189" s="720">
        <v>50449.36</v>
      </c>
      <c r="G189" s="632">
        <v>17.5</v>
      </c>
      <c r="H189" s="642"/>
      <c r="I189" s="642">
        <f t="shared" si="113"/>
        <v>17.5</v>
      </c>
      <c r="J189" s="643">
        <f t="shared" si="111"/>
        <v>0.5</v>
      </c>
      <c r="K189" s="636">
        <v>25224.675000000003</v>
      </c>
      <c r="L189" s="636">
        <f t="shared" si="112"/>
        <v>0</v>
      </c>
      <c r="M189" s="636">
        <f t="shared" si="114"/>
        <v>25224.675000000003</v>
      </c>
      <c r="N189" s="644"/>
    </row>
    <row r="190" spans="1:14">
      <c r="A190" s="714"/>
      <c r="B190" s="721" t="s">
        <v>44</v>
      </c>
      <c r="C190" s="721"/>
      <c r="D190" s="722"/>
      <c r="E190" s="721"/>
      <c r="F190" s="723">
        <f>SUM(F184:F189)</f>
        <v>3405964.5399999996</v>
      </c>
      <c r="G190" s="632"/>
      <c r="H190" s="642"/>
      <c r="I190" s="642"/>
      <c r="J190" s="652"/>
      <c r="K190" s="657">
        <f>+SUBTOTAL(9,K184:K189)</f>
        <v>1702981.8928</v>
      </c>
      <c r="L190" s="657">
        <f>+SUBTOTAL(9,L184:L189)</f>
        <v>0</v>
      </c>
      <c r="M190" s="657">
        <f>+SUBTOTAL(9,M184:M189)</f>
        <v>1702981.8928</v>
      </c>
      <c r="N190" s="644"/>
    </row>
    <row r="191" spans="1:14">
      <c r="A191" s="716">
        <v>5</v>
      </c>
      <c r="B191" s="712" t="s">
        <v>609</v>
      </c>
      <c r="C191" s="713"/>
      <c r="D191" s="714"/>
      <c r="E191" s="713"/>
      <c r="F191" s="715"/>
      <c r="G191" s="632"/>
      <c r="H191" s="642"/>
      <c r="I191" s="642"/>
      <c r="J191" s="652"/>
      <c r="K191" s="636"/>
      <c r="L191" s="636"/>
      <c r="M191" s="636"/>
      <c r="N191" s="644"/>
    </row>
    <row r="192" spans="1:14">
      <c r="A192" s="717">
        <v>5.01</v>
      </c>
      <c r="B192" s="718" t="s">
        <v>610</v>
      </c>
      <c r="C192" s="717">
        <v>504</v>
      </c>
      <c r="D192" s="719" t="s">
        <v>189</v>
      </c>
      <c r="E192" s="720">
        <v>1800.51</v>
      </c>
      <c r="F192" s="720">
        <v>907457.04</v>
      </c>
      <c r="G192" s="632">
        <v>252</v>
      </c>
      <c r="H192" s="642"/>
      <c r="I192" s="642">
        <f>G192+H192</f>
        <v>252</v>
      </c>
      <c r="J192" s="643">
        <f t="shared" ref="J192:J194" si="115">I192/C192</f>
        <v>0.5</v>
      </c>
      <c r="K192" s="636">
        <v>453728.52</v>
      </c>
      <c r="L192" s="636">
        <f t="shared" ref="L192:L194" si="116">H192*E192</f>
        <v>0</v>
      </c>
      <c r="M192" s="636">
        <f t="shared" ref="M192:M194" si="117">K192+L192</f>
        <v>453728.52</v>
      </c>
      <c r="N192" s="644"/>
    </row>
    <row r="193" spans="1:14">
      <c r="A193" s="717">
        <v>5.0199999999999996</v>
      </c>
      <c r="B193" s="718" t="s">
        <v>611</v>
      </c>
      <c r="C193" s="717">
        <v>235</v>
      </c>
      <c r="D193" s="719" t="s">
        <v>30</v>
      </c>
      <c r="E193" s="727">
        <v>277.51</v>
      </c>
      <c r="F193" s="720">
        <v>65214.85</v>
      </c>
      <c r="G193" s="632">
        <v>117.5</v>
      </c>
      <c r="H193" s="642"/>
      <c r="I193" s="642">
        <f t="shared" ref="I193:I194" si="118">G193+H193</f>
        <v>117.5</v>
      </c>
      <c r="J193" s="643">
        <f t="shared" si="115"/>
        <v>0.5</v>
      </c>
      <c r="K193" s="636">
        <v>32607.424999999999</v>
      </c>
      <c r="L193" s="636">
        <f t="shared" si="116"/>
        <v>0</v>
      </c>
      <c r="M193" s="636">
        <f t="shared" si="117"/>
        <v>32607.424999999999</v>
      </c>
      <c r="N193" s="644"/>
    </row>
    <row r="194" spans="1:14">
      <c r="A194" s="717">
        <v>5.03</v>
      </c>
      <c r="B194" s="718" t="s">
        <v>612</v>
      </c>
      <c r="C194" s="717">
        <v>35</v>
      </c>
      <c r="D194" s="719" t="s">
        <v>189</v>
      </c>
      <c r="E194" s="720">
        <v>1948.43</v>
      </c>
      <c r="F194" s="720">
        <v>68195.05</v>
      </c>
      <c r="G194" s="632">
        <v>17.5</v>
      </c>
      <c r="H194" s="642"/>
      <c r="I194" s="642">
        <f t="shared" si="118"/>
        <v>17.5</v>
      </c>
      <c r="J194" s="643">
        <f t="shared" si="115"/>
        <v>0.5</v>
      </c>
      <c r="K194" s="636">
        <v>34097.525000000001</v>
      </c>
      <c r="L194" s="636">
        <f t="shared" si="116"/>
        <v>0</v>
      </c>
      <c r="M194" s="636">
        <f t="shared" si="117"/>
        <v>34097.525000000001</v>
      </c>
      <c r="N194" s="644"/>
    </row>
    <row r="195" spans="1:14">
      <c r="A195" s="714"/>
      <c r="B195" s="721" t="s">
        <v>44</v>
      </c>
      <c r="C195" s="721"/>
      <c r="D195" s="722"/>
      <c r="E195" s="721"/>
      <c r="F195" s="723">
        <f>SUM(F192:F194)</f>
        <v>1040866.9400000001</v>
      </c>
      <c r="G195" s="632"/>
      <c r="H195" s="642"/>
      <c r="I195" s="642"/>
      <c r="J195" s="652"/>
      <c r="K195" s="657">
        <f>+SUBTOTAL(9,K192:K194)</f>
        <v>520433.47000000003</v>
      </c>
      <c r="L195" s="657">
        <f>+SUBTOTAL(9,L192:L194)</f>
        <v>0</v>
      </c>
      <c r="M195" s="657">
        <f>+SUBTOTAL(9,M192:M194)</f>
        <v>520433.47000000003</v>
      </c>
      <c r="N195" s="644"/>
    </row>
    <row r="196" spans="1:14">
      <c r="A196" s="716">
        <v>6</v>
      </c>
      <c r="B196" s="712" t="s">
        <v>613</v>
      </c>
      <c r="C196" s="713"/>
      <c r="D196" s="714"/>
      <c r="E196" s="713"/>
      <c r="F196" s="715"/>
      <c r="G196" s="632"/>
      <c r="H196" s="642"/>
      <c r="I196" s="642"/>
      <c r="J196" s="652"/>
      <c r="K196" s="636"/>
      <c r="L196" s="636"/>
      <c r="M196" s="636"/>
      <c r="N196" s="644"/>
    </row>
    <row r="197" spans="1:14" ht="25.5">
      <c r="A197" s="717">
        <v>6.01</v>
      </c>
      <c r="B197" s="718" t="s">
        <v>614</v>
      </c>
      <c r="C197" s="717">
        <v>1</v>
      </c>
      <c r="D197" s="719" t="s">
        <v>32</v>
      </c>
      <c r="E197" s="720">
        <v>40655.199999999997</v>
      </c>
      <c r="F197" s="720">
        <v>40655.199999999997</v>
      </c>
      <c r="G197" s="632"/>
      <c r="H197" s="642"/>
      <c r="I197" s="642"/>
      <c r="J197" s="652"/>
      <c r="K197" s="636"/>
      <c r="L197" s="636"/>
      <c r="M197" s="636"/>
      <c r="N197" s="644"/>
    </row>
    <row r="198" spans="1:14">
      <c r="A198" s="717">
        <v>6.02</v>
      </c>
      <c r="B198" s="718" t="s">
        <v>615</v>
      </c>
      <c r="C198" s="717">
        <v>3</v>
      </c>
      <c r="D198" s="719" t="s">
        <v>32</v>
      </c>
      <c r="E198" s="720">
        <v>25259.82</v>
      </c>
      <c r="F198" s="720">
        <v>75779.460000000006</v>
      </c>
      <c r="G198" s="632"/>
      <c r="H198" s="642"/>
      <c r="I198" s="642"/>
      <c r="J198" s="652"/>
      <c r="K198" s="636"/>
      <c r="L198" s="636"/>
      <c r="M198" s="636"/>
      <c r="N198" s="644"/>
    </row>
    <row r="199" spans="1:14">
      <c r="A199" s="717">
        <v>6.03</v>
      </c>
      <c r="B199" s="718" t="s">
        <v>616</v>
      </c>
      <c r="C199" s="717">
        <v>1</v>
      </c>
      <c r="D199" s="719" t="s">
        <v>32</v>
      </c>
      <c r="E199" s="720">
        <v>19857.84</v>
      </c>
      <c r="F199" s="720">
        <v>19857.84</v>
      </c>
      <c r="G199" s="632"/>
      <c r="H199" s="642"/>
      <c r="I199" s="642"/>
      <c r="J199" s="652"/>
      <c r="K199" s="636"/>
      <c r="L199" s="636"/>
      <c r="M199" s="636"/>
      <c r="N199" s="644"/>
    </row>
    <row r="200" spans="1:14">
      <c r="A200" s="714"/>
      <c r="B200" s="721" t="s">
        <v>44</v>
      </c>
      <c r="C200" s="721"/>
      <c r="D200" s="722"/>
      <c r="E200" s="721"/>
      <c r="F200" s="723">
        <f>SUM(F197:F199)</f>
        <v>136292.5</v>
      </c>
      <c r="G200" s="632"/>
      <c r="H200" s="642"/>
      <c r="I200" s="642"/>
      <c r="J200" s="652"/>
      <c r="K200" s="636"/>
      <c r="L200" s="636"/>
      <c r="M200" s="636"/>
      <c r="N200" s="644"/>
    </row>
    <row r="201" spans="1:14">
      <c r="A201" s="716">
        <v>7</v>
      </c>
      <c r="B201" s="712" t="s">
        <v>617</v>
      </c>
      <c r="C201" s="713"/>
      <c r="D201" s="714"/>
      <c r="E201" s="713"/>
      <c r="F201" s="715"/>
      <c r="G201" s="632"/>
      <c r="H201" s="642"/>
      <c r="I201" s="642"/>
      <c r="J201" s="652"/>
      <c r="K201" s="636"/>
      <c r="L201" s="636"/>
      <c r="M201" s="636"/>
      <c r="N201" s="644"/>
    </row>
    <row r="202" spans="1:14" ht="25.5">
      <c r="A202" s="717">
        <v>7.01</v>
      </c>
      <c r="B202" s="718" t="s">
        <v>618</v>
      </c>
      <c r="C202" s="717">
        <v>10.34</v>
      </c>
      <c r="D202" s="719" t="s">
        <v>605</v>
      </c>
      <c r="E202" s="727">
        <v>882.05</v>
      </c>
      <c r="F202" s="720">
        <v>9120.4</v>
      </c>
      <c r="G202" s="632"/>
      <c r="H202" s="642"/>
      <c r="I202" s="642"/>
      <c r="J202" s="652"/>
      <c r="K202" s="636"/>
      <c r="L202" s="636"/>
      <c r="M202" s="636"/>
      <c r="N202" s="644"/>
    </row>
    <row r="203" spans="1:14">
      <c r="A203" s="714"/>
      <c r="B203" s="721" t="s">
        <v>44</v>
      </c>
      <c r="C203" s="721"/>
      <c r="D203" s="722"/>
      <c r="E203" s="721"/>
      <c r="F203" s="723">
        <f>F202</f>
        <v>9120.4</v>
      </c>
      <c r="G203" s="632"/>
      <c r="H203" s="642"/>
      <c r="I203" s="642"/>
      <c r="J203" s="652"/>
      <c r="K203" s="636"/>
      <c r="L203" s="636"/>
      <c r="M203" s="636"/>
      <c r="N203" s="644"/>
    </row>
    <row r="204" spans="1:14">
      <c r="A204" s="716">
        <v>8</v>
      </c>
      <c r="B204" s="712" t="s">
        <v>274</v>
      </c>
      <c r="C204" s="713"/>
      <c r="D204" s="714"/>
      <c r="E204" s="713"/>
      <c r="F204" s="715"/>
      <c r="G204" s="632"/>
      <c r="H204" s="642"/>
      <c r="I204" s="642"/>
      <c r="J204" s="652"/>
      <c r="K204" s="636"/>
      <c r="L204" s="636"/>
      <c r="M204" s="636"/>
      <c r="N204" s="644"/>
    </row>
    <row r="205" spans="1:14">
      <c r="A205" s="717">
        <v>8.01</v>
      </c>
      <c r="B205" s="718" t="s">
        <v>619</v>
      </c>
      <c r="C205" s="717">
        <v>14.96</v>
      </c>
      <c r="D205" s="719" t="s">
        <v>30</v>
      </c>
      <c r="E205" s="720">
        <v>2764.21</v>
      </c>
      <c r="F205" s="720">
        <v>41352.58</v>
      </c>
      <c r="G205" s="632"/>
      <c r="H205" s="642"/>
      <c r="I205" s="642"/>
      <c r="J205" s="652"/>
      <c r="K205" s="636"/>
      <c r="L205" s="636"/>
      <c r="M205" s="636"/>
      <c r="N205" s="644"/>
    </row>
    <row r="206" spans="1:14">
      <c r="A206" s="717">
        <v>8.02</v>
      </c>
      <c r="B206" s="718" t="s">
        <v>620</v>
      </c>
      <c r="C206" s="717">
        <v>4</v>
      </c>
      <c r="D206" s="719" t="s">
        <v>189</v>
      </c>
      <c r="E206" s="720">
        <v>1800.51</v>
      </c>
      <c r="F206" s="720">
        <v>7202.04</v>
      </c>
      <c r="G206" s="632"/>
      <c r="H206" s="642"/>
      <c r="I206" s="642"/>
      <c r="J206" s="652"/>
      <c r="K206" s="636"/>
      <c r="L206" s="636"/>
      <c r="M206" s="636"/>
      <c r="N206" s="644"/>
    </row>
    <row r="207" spans="1:14">
      <c r="A207" s="714"/>
      <c r="B207" s="721" t="s">
        <v>44</v>
      </c>
      <c r="C207" s="721"/>
      <c r="D207" s="722"/>
      <c r="E207" s="721"/>
      <c r="F207" s="723">
        <f>SUM(F205:F206)</f>
        <v>48554.62</v>
      </c>
      <c r="G207" s="632"/>
      <c r="H207" s="642"/>
      <c r="I207" s="642"/>
      <c r="J207" s="652"/>
      <c r="K207" s="636"/>
      <c r="L207" s="636"/>
      <c r="M207" s="636"/>
      <c r="N207" s="644"/>
    </row>
    <row r="208" spans="1:14">
      <c r="A208" s="716">
        <v>9</v>
      </c>
      <c r="B208" s="712" t="s">
        <v>621</v>
      </c>
      <c r="C208" s="713"/>
      <c r="D208" s="714"/>
      <c r="E208" s="713"/>
      <c r="F208" s="715"/>
      <c r="G208" s="632"/>
      <c r="H208" s="642"/>
      <c r="I208" s="642"/>
      <c r="J208" s="652"/>
      <c r="K208" s="636"/>
      <c r="L208" s="636"/>
      <c r="M208" s="636"/>
      <c r="N208" s="644"/>
    </row>
    <row r="209" spans="1:14">
      <c r="A209" s="717">
        <v>9.01</v>
      </c>
      <c r="B209" s="718" t="s">
        <v>622</v>
      </c>
      <c r="C209" s="725">
        <v>1383.68</v>
      </c>
      <c r="D209" s="719" t="s">
        <v>189</v>
      </c>
      <c r="E209" s="727">
        <v>300.42</v>
      </c>
      <c r="F209" s="720">
        <v>415685.15</v>
      </c>
      <c r="G209" s="632"/>
      <c r="H209" s="642"/>
      <c r="I209" s="642"/>
      <c r="J209" s="652"/>
      <c r="K209" s="636"/>
      <c r="L209" s="636"/>
      <c r="M209" s="636"/>
      <c r="N209" s="644"/>
    </row>
    <row r="210" spans="1:14">
      <c r="A210" s="714"/>
      <c r="B210" s="721" t="s">
        <v>44</v>
      </c>
      <c r="C210" s="721"/>
      <c r="D210" s="722"/>
      <c r="E210" s="721"/>
      <c r="F210" s="723">
        <f>F209</f>
        <v>415685.15</v>
      </c>
      <c r="G210" s="632"/>
      <c r="H210" s="642"/>
      <c r="I210" s="642"/>
      <c r="J210" s="652"/>
      <c r="K210" s="636"/>
      <c r="L210" s="636"/>
      <c r="M210" s="636"/>
      <c r="N210" s="644"/>
    </row>
    <row r="211" spans="1:14">
      <c r="A211" s="716">
        <v>10</v>
      </c>
      <c r="B211" s="712" t="s">
        <v>623</v>
      </c>
      <c r="C211" s="713"/>
      <c r="D211" s="714"/>
      <c r="E211" s="713"/>
      <c r="F211" s="715"/>
      <c r="G211" s="632"/>
      <c r="H211" s="642"/>
      <c r="I211" s="642"/>
      <c r="J211" s="652"/>
      <c r="K211" s="636"/>
      <c r="L211" s="636"/>
      <c r="M211" s="636"/>
      <c r="N211" s="644"/>
    </row>
    <row r="212" spans="1:14">
      <c r="A212" s="717">
        <v>10.01</v>
      </c>
      <c r="B212" s="718" t="s">
        <v>624</v>
      </c>
      <c r="C212" s="713"/>
      <c r="D212" s="714"/>
      <c r="E212" s="713"/>
      <c r="F212" s="715"/>
      <c r="G212" s="632"/>
      <c r="H212" s="642"/>
      <c r="I212" s="642"/>
      <c r="J212" s="652"/>
      <c r="K212" s="636"/>
      <c r="L212" s="636"/>
      <c r="M212" s="636"/>
      <c r="N212" s="644"/>
    </row>
    <row r="213" spans="1:14">
      <c r="A213" s="717">
        <v>10.02</v>
      </c>
      <c r="B213" s="718" t="s">
        <v>625</v>
      </c>
      <c r="C213" s="717">
        <v>5.4</v>
      </c>
      <c r="D213" s="719" t="s">
        <v>189</v>
      </c>
      <c r="E213" s="720">
        <v>6543.33</v>
      </c>
      <c r="F213" s="720">
        <v>35334</v>
      </c>
      <c r="G213" s="632">
        <v>2.7</v>
      </c>
      <c r="H213" s="642"/>
      <c r="I213" s="642">
        <f>G213+H213</f>
        <v>2.7</v>
      </c>
      <c r="J213" s="643">
        <f t="shared" ref="J213:J219" si="119">I213/C213</f>
        <v>0.5</v>
      </c>
      <c r="K213" s="636">
        <v>17666.991000000002</v>
      </c>
      <c r="L213" s="636">
        <f t="shared" ref="L213:L224" si="120">H213*E213</f>
        <v>0</v>
      </c>
      <c r="M213" s="636">
        <f t="shared" ref="M213:M224" si="121">K213+L213</f>
        <v>17666.991000000002</v>
      </c>
      <c r="N213" s="644"/>
    </row>
    <row r="214" spans="1:14">
      <c r="A214" s="717">
        <v>10.029999999999999</v>
      </c>
      <c r="B214" s="718" t="s">
        <v>626</v>
      </c>
      <c r="C214" s="717">
        <v>6</v>
      </c>
      <c r="D214" s="719" t="s">
        <v>32</v>
      </c>
      <c r="E214" s="720">
        <v>10994.43</v>
      </c>
      <c r="F214" s="720">
        <v>65966.58</v>
      </c>
      <c r="G214" s="632">
        <v>3</v>
      </c>
      <c r="H214" s="642"/>
      <c r="I214" s="642">
        <f t="shared" ref="I214:I218" si="122">G214+H214</f>
        <v>3</v>
      </c>
      <c r="J214" s="643">
        <f t="shared" si="119"/>
        <v>0.5</v>
      </c>
      <c r="K214" s="636">
        <v>32983.29</v>
      </c>
      <c r="L214" s="636">
        <f t="shared" si="120"/>
        <v>0</v>
      </c>
      <c r="M214" s="636">
        <f t="shared" si="121"/>
        <v>32983.29</v>
      </c>
      <c r="N214" s="644"/>
    </row>
    <row r="215" spans="1:14">
      <c r="A215" s="717">
        <v>10.039999999999999</v>
      </c>
      <c r="B215" s="718" t="s">
        <v>627</v>
      </c>
      <c r="C215" s="717">
        <v>8</v>
      </c>
      <c r="D215" s="719" t="s">
        <v>32</v>
      </c>
      <c r="E215" s="720">
        <v>12551.71</v>
      </c>
      <c r="F215" s="720">
        <v>100413.68</v>
      </c>
      <c r="G215" s="632">
        <v>4</v>
      </c>
      <c r="H215" s="642"/>
      <c r="I215" s="642">
        <f t="shared" si="122"/>
        <v>4</v>
      </c>
      <c r="J215" s="643">
        <f t="shared" si="119"/>
        <v>0.5</v>
      </c>
      <c r="K215" s="636">
        <v>50206.84</v>
      </c>
      <c r="L215" s="636">
        <f t="shared" si="120"/>
        <v>0</v>
      </c>
      <c r="M215" s="636">
        <f t="shared" si="121"/>
        <v>50206.84</v>
      </c>
      <c r="N215" s="644"/>
    </row>
    <row r="216" spans="1:14">
      <c r="A216" s="717">
        <v>10.050000000000001</v>
      </c>
      <c r="B216" s="718" t="s">
        <v>628</v>
      </c>
      <c r="C216" s="717">
        <v>2</v>
      </c>
      <c r="D216" s="719" t="s">
        <v>32</v>
      </c>
      <c r="E216" s="720">
        <v>2783.77</v>
      </c>
      <c r="F216" s="720">
        <v>5567.54</v>
      </c>
      <c r="G216" s="632">
        <v>1</v>
      </c>
      <c r="H216" s="642"/>
      <c r="I216" s="642">
        <f t="shared" si="122"/>
        <v>1</v>
      </c>
      <c r="J216" s="643">
        <f t="shared" si="119"/>
        <v>0.5</v>
      </c>
      <c r="K216" s="636">
        <v>2783.77</v>
      </c>
      <c r="L216" s="636">
        <f t="shared" si="120"/>
        <v>0</v>
      </c>
      <c r="M216" s="636">
        <f t="shared" si="121"/>
        <v>2783.77</v>
      </c>
      <c r="N216" s="644"/>
    </row>
    <row r="217" spans="1:14">
      <c r="A217" s="717">
        <v>10.06</v>
      </c>
      <c r="B217" s="718" t="s">
        <v>629</v>
      </c>
      <c r="C217" s="717">
        <v>2</v>
      </c>
      <c r="D217" s="719" t="s">
        <v>32</v>
      </c>
      <c r="E217" s="720">
        <v>10709.95</v>
      </c>
      <c r="F217" s="720">
        <v>21419.9</v>
      </c>
      <c r="G217" s="632">
        <v>1</v>
      </c>
      <c r="H217" s="642"/>
      <c r="I217" s="642">
        <f t="shared" si="122"/>
        <v>1</v>
      </c>
      <c r="J217" s="643">
        <f t="shared" si="119"/>
        <v>0.5</v>
      </c>
      <c r="K217" s="636">
        <v>10709.95</v>
      </c>
      <c r="L217" s="636">
        <f t="shared" si="120"/>
        <v>0</v>
      </c>
      <c r="M217" s="636">
        <f t="shared" si="121"/>
        <v>10709.95</v>
      </c>
      <c r="N217" s="644"/>
    </row>
    <row r="218" spans="1:14">
      <c r="A218" s="717">
        <v>10.07</v>
      </c>
      <c r="B218" s="718" t="s">
        <v>647</v>
      </c>
      <c r="C218" s="717">
        <v>1</v>
      </c>
      <c r="D218" s="719" t="s">
        <v>32</v>
      </c>
      <c r="E218" s="720">
        <v>2239.4499999999998</v>
      </c>
      <c r="F218" s="720">
        <v>2239.4499999999998</v>
      </c>
      <c r="G218" s="632">
        <v>0.5</v>
      </c>
      <c r="H218" s="642"/>
      <c r="I218" s="642">
        <f t="shared" si="122"/>
        <v>0.5</v>
      </c>
      <c r="J218" s="643">
        <f t="shared" si="119"/>
        <v>0.5</v>
      </c>
      <c r="K218" s="636">
        <v>1119.7249999999999</v>
      </c>
      <c r="L218" s="636">
        <f t="shared" si="120"/>
        <v>0</v>
      </c>
      <c r="M218" s="636">
        <f t="shared" si="121"/>
        <v>1119.7249999999999</v>
      </c>
      <c r="N218" s="644"/>
    </row>
    <row r="219" spans="1:14">
      <c r="A219" s="717">
        <v>10.08</v>
      </c>
      <c r="B219" s="739" t="s">
        <v>631</v>
      </c>
      <c r="C219" s="717">
        <v>1</v>
      </c>
      <c r="D219" s="719" t="s">
        <v>88</v>
      </c>
      <c r="E219" s="740">
        <v>135000</v>
      </c>
      <c r="F219" s="740">
        <v>135000</v>
      </c>
      <c r="G219" s="632">
        <v>0.5</v>
      </c>
      <c r="H219" s="642"/>
      <c r="I219" s="642"/>
      <c r="J219" s="643">
        <f t="shared" si="119"/>
        <v>0</v>
      </c>
      <c r="K219" s="636">
        <v>67500</v>
      </c>
      <c r="L219" s="636">
        <f t="shared" si="120"/>
        <v>0</v>
      </c>
      <c r="M219" s="636">
        <f t="shared" si="121"/>
        <v>67500</v>
      </c>
      <c r="N219" s="644"/>
    </row>
    <row r="220" spans="1:14">
      <c r="A220" s="717">
        <v>10.09</v>
      </c>
      <c r="B220" s="718" t="s">
        <v>632</v>
      </c>
      <c r="C220" s="713"/>
      <c r="D220" s="714"/>
      <c r="E220" s="713"/>
      <c r="F220" s="715"/>
      <c r="G220" s="632"/>
      <c r="H220" s="642"/>
      <c r="I220" s="642"/>
      <c r="J220" s="643"/>
      <c r="K220" s="636"/>
      <c r="L220" s="636"/>
      <c r="M220" s="636"/>
      <c r="N220" s="644"/>
    </row>
    <row r="221" spans="1:14">
      <c r="A221" s="717">
        <v>10.1</v>
      </c>
      <c r="B221" s="718" t="s">
        <v>633</v>
      </c>
      <c r="C221" s="717">
        <v>10</v>
      </c>
      <c r="D221" s="719" t="s">
        <v>353</v>
      </c>
      <c r="E221" s="720">
        <v>2955</v>
      </c>
      <c r="F221" s="720">
        <v>29550</v>
      </c>
      <c r="G221" s="632">
        <v>5</v>
      </c>
      <c r="H221" s="642"/>
      <c r="I221" s="642">
        <f>G221+H221</f>
        <v>5</v>
      </c>
      <c r="J221" s="643">
        <f t="shared" ref="J221:J224" si="123">I221/C221</f>
        <v>0.5</v>
      </c>
      <c r="K221" s="636">
        <v>14775</v>
      </c>
      <c r="L221" s="636">
        <f t="shared" si="120"/>
        <v>0</v>
      </c>
      <c r="M221" s="636">
        <f t="shared" si="121"/>
        <v>14775</v>
      </c>
      <c r="N221" s="644"/>
    </row>
    <row r="222" spans="1:14">
      <c r="A222" s="717">
        <v>10.11</v>
      </c>
      <c r="B222" s="718" t="s">
        <v>625</v>
      </c>
      <c r="C222" s="717">
        <v>1.2</v>
      </c>
      <c r="D222" s="719" t="s">
        <v>189</v>
      </c>
      <c r="E222" s="720">
        <v>6790</v>
      </c>
      <c r="F222" s="720">
        <v>8148</v>
      </c>
      <c r="G222" s="632">
        <v>0.6</v>
      </c>
      <c r="H222" s="642"/>
      <c r="I222" s="642">
        <f t="shared" ref="I222:I224" si="124">G222+H222</f>
        <v>0.6</v>
      </c>
      <c r="J222" s="643">
        <f t="shared" si="123"/>
        <v>0.5</v>
      </c>
      <c r="K222" s="636">
        <v>4074</v>
      </c>
      <c r="L222" s="636">
        <f t="shared" si="120"/>
        <v>0</v>
      </c>
      <c r="M222" s="636">
        <f t="shared" si="121"/>
        <v>4074</v>
      </c>
      <c r="N222" s="644"/>
    </row>
    <row r="223" spans="1:14">
      <c r="A223" s="741">
        <v>10.119999999999999</v>
      </c>
      <c r="B223" s="718" t="s">
        <v>634</v>
      </c>
      <c r="C223" s="717">
        <v>1</v>
      </c>
      <c r="D223" s="719" t="s">
        <v>32</v>
      </c>
      <c r="E223" s="720">
        <v>14106.81</v>
      </c>
      <c r="F223" s="720">
        <v>14106.81</v>
      </c>
      <c r="G223" s="632">
        <v>0.5</v>
      </c>
      <c r="H223" s="642"/>
      <c r="I223" s="642">
        <f t="shared" si="124"/>
        <v>0.5</v>
      </c>
      <c r="J223" s="643">
        <f t="shared" si="123"/>
        <v>0.5</v>
      </c>
      <c r="K223" s="636">
        <v>7053.4049999999997</v>
      </c>
      <c r="L223" s="636">
        <f t="shared" si="120"/>
        <v>0</v>
      </c>
      <c r="M223" s="636">
        <f t="shared" si="121"/>
        <v>7053.4049999999997</v>
      </c>
      <c r="N223" s="644"/>
    </row>
    <row r="224" spans="1:14">
      <c r="A224" s="717">
        <v>10.130000000000001</v>
      </c>
      <c r="B224" s="718" t="s">
        <v>647</v>
      </c>
      <c r="C224" s="717">
        <v>1</v>
      </c>
      <c r="D224" s="719" t="s">
        <v>32</v>
      </c>
      <c r="E224" s="720">
        <v>2239.4499999999998</v>
      </c>
      <c r="F224" s="720">
        <v>2239.4499999999998</v>
      </c>
      <c r="G224" s="632">
        <v>0.5</v>
      </c>
      <c r="H224" s="642"/>
      <c r="I224" s="642">
        <f t="shared" si="124"/>
        <v>0.5</v>
      </c>
      <c r="J224" s="643">
        <f t="shared" si="123"/>
        <v>0.5</v>
      </c>
      <c r="K224" s="636">
        <v>1119.7249999999999</v>
      </c>
      <c r="L224" s="636">
        <f t="shared" si="120"/>
        <v>0</v>
      </c>
      <c r="M224" s="636">
        <f t="shared" si="121"/>
        <v>1119.7249999999999</v>
      </c>
      <c r="N224" s="644"/>
    </row>
    <row r="225" spans="1:14">
      <c r="A225" s="714"/>
      <c r="B225" s="721" t="s">
        <v>44</v>
      </c>
      <c r="C225" s="721"/>
      <c r="D225" s="722"/>
      <c r="E225" s="721"/>
      <c r="F225" s="723">
        <f>SUM(F213:F224)</f>
        <v>419985.41000000003</v>
      </c>
      <c r="G225" s="632"/>
      <c r="H225" s="642"/>
      <c r="I225" s="642"/>
      <c r="J225" s="652"/>
      <c r="K225" s="657">
        <f>+SUBTOTAL(9,K213:K224)</f>
        <v>209992.696</v>
      </c>
      <c r="L225" s="657">
        <f>+SUBTOTAL(9,L213:L224)</f>
        <v>0</v>
      </c>
      <c r="M225" s="657">
        <f>+SUBTOTAL(9,M213:M224)</f>
        <v>209992.696</v>
      </c>
      <c r="N225" s="644"/>
    </row>
    <row r="226" spans="1:14">
      <c r="A226" s="716">
        <v>11</v>
      </c>
      <c r="B226" s="712" t="s">
        <v>636</v>
      </c>
      <c r="C226" s="713"/>
      <c r="D226" s="714"/>
      <c r="E226" s="713"/>
      <c r="F226" s="715"/>
      <c r="G226" s="632"/>
      <c r="H226" s="642"/>
      <c r="I226" s="642"/>
      <c r="J226" s="652"/>
      <c r="K226" s="636"/>
      <c r="L226" s="636"/>
      <c r="M226" s="636"/>
      <c r="N226" s="644"/>
    </row>
    <row r="227" spans="1:14">
      <c r="A227" s="717">
        <v>11.01</v>
      </c>
      <c r="B227" s="718" t="s">
        <v>637</v>
      </c>
      <c r="C227" s="717">
        <v>50</v>
      </c>
      <c r="D227" s="719" t="s">
        <v>32</v>
      </c>
      <c r="E227" s="720">
        <v>1473.68</v>
      </c>
      <c r="F227" s="720">
        <v>73684</v>
      </c>
      <c r="G227" s="632">
        <v>25</v>
      </c>
      <c r="H227" s="642"/>
      <c r="I227" s="642">
        <f>G227+H227</f>
        <v>25</v>
      </c>
      <c r="J227" s="643">
        <f t="shared" ref="J227:J235" si="125">I227/C227</f>
        <v>0.5</v>
      </c>
      <c r="K227" s="636">
        <v>36842</v>
      </c>
      <c r="L227" s="636">
        <f t="shared" ref="L227:L235" si="126">H227*E227</f>
        <v>0</v>
      </c>
      <c r="M227" s="636">
        <f t="shared" ref="M227:M235" si="127">K227+L227</f>
        <v>36842</v>
      </c>
      <c r="N227" s="644"/>
    </row>
    <row r="228" spans="1:14">
      <c r="A228" s="717">
        <v>11.02</v>
      </c>
      <c r="B228" s="718" t="s">
        <v>638</v>
      </c>
      <c r="C228" s="717">
        <v>12</v>
      </c>
      <c r="D228" s="719" t="s">
        <v>32</v>
      </c>
      <c r="E228" s="720">
        <v>1586.98</v>
      </c>
      <c r="F228" s="720">
        <v>19043.71</v>
      </c>
      <c r="G228" s="632">
        <v>6</v>
      </c>
      <c r="H228" s="642"/>
      <c r="I228" s="642">
        <f t="shared" ref="I228:I234" si="128">G228+H228</f>
        <v>6</v>
      </c>
      <c r="J228" s="643">
        <f t="shared" si="125"/>
        <v>0.5</v>
      </c>
      <c r="K228" s="636">
        <v>9521.880000000001</v>
      </c>
      <c r="L228" s="636">
        <f t="shared" si="126"/>
        <v>0</v>
      </c>
      <c r="M228" s="636">
        <f t="shared" si="127"/>
        <v>9521.880000000001</v>
      </c>
      <c r="N228" s="644"/>
    </row>
    <row r="229" spans="1:14">
      <c r="A229" s="717">
        <v>11.03</v>
      </c>
      <c r="B229" s="718" t="s">
        <v>639</v>
      </c>
      <c r="C229" s="717">
        <v>2</v>
      </c>
      <c r="D229" s="719" t="s">
        <v>32</v>
      </c>
      <c r="E229" s="720">
        <v>2082.37</v>
      </c>
      <c r="F229" s="720">
        <v>4164.74</v>
      </c>
      <c r="G229" s="632">
        <v>1</v>
      </c>
      <c r="H229" s="642"/>
      <c r="I229" s="642">
        <f t="shared" si="128"/>
        <v>1</v>
      </c>
      <c r="J229" s="643">
        <f t="shared" si="125"/>
        <v>0.5</v>
      </c>
      <c r="K229" s="636">
        <v>2082.37</v>
      </c>
      <c r="L229" s="636">
        <f t="shared" si="126"/>
        <v>0</v>
      </c>
      <c r="M229" s="636">
        <f t="shared" si="127"/>
        <v>2082.37</v>
      </c>
      <c r="N229" s="644"/>
    </row>
    <row r="230" spans="1:14">
      <c r="A230" s="717">
        <v>11.04</v>
      </c>
      <c r="B230" s="718" t="s">
        <v>640</v>
      </c>
      <c r="C230" s="717">
        <v>1</v>
      </c>
      <c r="D230" s="719" t="s">
        <v>32</v>
      </c>
      <c r="E230" s="720">
        <v>2452.84</v>
      </c>
      <c r="F230" s="720">
        <v>2452.84</v>
      </c>
      <c r="G230" s="632">
        <v>0.5</v>
      </c>
      <c r="H230" s="642"/>
      <c r="I230" s="642">
        <f t="shared" si="128"/>
        <v>0.5</v>
      </c>
      <c r="J230" s="643">
        <f t="shared" si="125"/>
        <v>0.5</v>
      </c>
      <c r="K230" s="636">
        <v>1226.42</v>
      </c>
      <c r="L230" s="636">
        <f t="shared" si="126"/>
        <v>0</v>
      </c>
      <c r="M230" s="636">
        <f t="shared" si="127"/>
        <v>1226.42</v>
      </c>
      <c r="N230" s="644"/>
    </row>
    <row r="231" spans="1:14">
      <c r="A231" s="717">
        <v>11.05</v>
      </c>
      <c r="B231" s="718" t="s">
        <v>641</v>
      </c>
      <c r="C231" s="717">
        <v>2</v>
      </c>
      <c r="D231" s="719" t="s">
        <v>32</v>
      </c>
      <c r="E231" s="720">
        <v>1944.31</v>
      </c>
      <c r="F231" s="720">
        <v>3888.62</v>
      </c>
      <c r="G231" s="632">
        <v>1</v>
      </c>
      <c r="H231" s="642"/>
      <c r="I231" s="642">
        <f t="shared" si="128"/>
        <v>1</v>
      </c>
      <c r="J231" s="643">
        <f t="shared" si="125"/>
        <v>0.5</v>
      </c>
      <c r="K231" s="636">
        <v>1944.31</v>
      </c>
      <c r="L231" s="636">
        <f t="shared" si="126"/>
        <v>0</v>
      </c>
      <c r="M231" s="636">
        <f t="shared" si="127"/>
        <v>1944.31</v>
      </c>
      <c r="N231" s="644"/>
    </row>
    <row r="232" spans="1:14">
      <c r="A232" s="717">
        <v>11.06</v>
      </c>
      <c r="B232" s="718" t="s">
        <v>642</v>
      </c>
      <c r="C232" s="717">
        <v>60</v>
      </c>
      <c r="D232" s="719" t="s">
        <v>32</v>
      </c>
      <c r="E232" s="720">
        <v>1859.58</v>
      </c>
      <c r="F232" s="720">
        <v>111574.8</v>
      </c>
      <c r="G232" s="632">
        <v>30</v>
      </c>
      <c r="H232" s="642"/>
      <c r="I232" s="642">
        <f t="shared" si="128"/>
        <v>30</v>
      </c>
      <c r="J232" s="643">
        <f t="shared" si="125"/>
        <v>0.5</v>
      </c>
      <c r="K232" s="636">
        <v>55787.399999999994</v>
      </c>
      <c r="L232" s="636">
        <f t="shared" si="126"/>
        <v>0</v>
      </c>
      <c r="M232" s="636">
        <f t="shared" si="127"/>
        <v>55787.399999999994</v>
      </c>
      <c r="N232" s="644"/>
    </row>
    <row r="233" spans="1:14">
      <c r="A233" s="717">
        <v>11.07</v>
      </c>
      <c r="B233" s="718" t="s">
        <v>643</v>
      </c>
      <c r="C233" s="717">
        <v>15</v>
      </c>
      <c r="D233" s="719" t="s">
        <v>32</v>
      </c>
      <c r="E233" s="720">
        <v>3945.79</v>
      </c>
      <c r="F233" s="720">
        <v>59186.85</v>
      </c>
      <c r="G233" s="632">
        <v>7.5</v>
      </c>
      <c r="H233" s="642"/>
      <c r="I233" s="642">
        <f t="shared" si="128"/>
        <v>7.5</v>
      </c>
      <c r="J233" s="643">
        <f t="shared" si="125"/>
        <v>0.5</v>
      </c>
      <c r="K233" s="636">
        <v>29593.424999999999</v>
      </c>
      <c r="L233" s="636">
        <f t="shared" si="126"/>
        <v>0</v>
      </c>
      <c r="M233" s="636">
        <f t="shared" si="127"/>
        <v>29593.424999999999</v>
      </c>
      <c r="N233" s="644"/>
    </row>
    <row r="234" spans="1:14">
      <c r="A234" s="717">
        <v>11.08</v>
      </c>
      <c r="B234" s="718" t="s">
        <v>644</v>
      </c>
      <c r="C234" s="717">
        <v>44</v>
      </c>
      <c r="D234" s="719" t="s">
        <v>32</v>
      </c>
      <c r="E234" s="720">
        <v>1368.29</v>
      </c>
      <c r="F234" s="720">
        <v>60204.76</v>
      </c>
      <c r="G234" s="632">
        <v>22</v>
      </c>
      <c r="H234" s="642"/>
      <c r="I234" s="642">
        <f t="shared" si="128"/>
        <v>22</v>
      </c>
      <c r="J234" s="643">
        <f t="shared" si="125"/>
        <v>0.5</v>
      </c>
      <c r="K234" s="636">
        <v>30102.379999999997</v>
      </c>
      <c r="L234" s="636">
        <f t="shared" si="126"/>
        <v>0</v>
      </c>
      <c r="M234" s="636">
        <f t="shared" si="127"/>
        <v>30102.379999999997</v>
      </c>
      <c r="N234" s="644"/>
    </row>
    <row r="235" spans="1:14">
      <c r="A235" s="729">
        <v>11.09</v>
      </c>
      <c r="B235" s="730" t="s">
        <v>645</v>
      </c>
      <c r="C235" s="729">
        <v>1</v>
      </c>
      <c r="D235" s="731" t="s">
        <v>32</v>
      </c>
      <c r="E235" s="732">
        <v>16939.810000000001</v>
      </c>
      <c r="F235" s="732">
        <v>16939.810000000001</v>
      </c>
      <c r="G235" s="632">
        <v>0.5</v>
      </c>
      <c r="H235" s="642"/>
      <c r="I235" s="642"/>
      <c r="J235" s="643">
        <f t="shared" si="125"/>
        <v>0</v>
      </c>
      <c r="K235" s="636">
        <v>8469.9050000000007</v>
      </c>
      <c r="L235" s="636">
        <f t="shared" si="126"/>
        <v>0</v>
      </c>
      <c r="M235" s="636">
        <f t="shared" si="127"/>
        <v>8469.9050000000007</v>
      </c>
      <c r="N235" s="644"/>
    </row>
    <row r="236" spans="1:14">
      <c r="A236" s="702"/>
      <c r="B236" s="706" t="s">
        <v>44</v>
      </c>
      <c r="C236" s="707"/>
      <c r="D236" s="708"/>
      <c r="E236" s="709"/>
      <c r="F236" s="710">
        <f>SUM(F227:F235)</f>
        <v>351140.13</v>
      </c>
      <c r="G236" s="632"/>
      <c r="H236" s="642"/>
      <c r="I236" s="642"/>
      <c r="J236" s="652"/>
      <c r="K236" s="657">
        <f>SUM(K227:K235)</f>
        <v>175570.09</v>
      </c>
      <c r="L236" s="657">
        <f>+SUBTOTAL(9,L227:L235)</f>
        <v>0</v>
      </c>
      <c r="M236" s="657">
        <f>+SUBTOTAL(9,M227:M235)</f>
        <v>175570.09</v>
      </c>
      <c r="N236" s="644"/>
    </row>
    <row r="237" spans="1:14">
      <c r="A237" s="733" t="s">
        <v>210</v>
      </c>
      <c r="B237" s="734" t="s">
        <v>649</v>
      </c>
      <c r="C237" s="735"/>
      <c r="D237" s="736"/>
      <c r="E237" s="735"/>
      <c r="F237" s="737"/>
      <c r="G237" s="632"/>
      <c r="H237" s="642"/>
      <c r="I237" s="642"/>
      <c r="J237" s="652"/>
      <c r="K237" s="636"/>
      <c r="L237" s="636"/>
      <c r="M237" s="636"/>
      <c r="N237" s="644"/>
    </row>
    <row r="238" spans="1:14">
      <c r="A238" s="716">
        <v>1</v>
      </c>
      <c r="B238" s="712" t="s">
        <v>585</v>
      </c>
      <c r="C238" s="713"/>
      <c r="D238" s="714"/>
      <c r="E238" s="713"/>
      <c r="F238" s="715"/>
      <c r="G238" s="632"/>
      <c r="H238" s="642"/>
      <c r="I238" s="642"/>
      <c r="J238" s="652"/>
      <c r="K238" s="636"/>
      <c r="L238" s="636"/>
      <c r="M238" s="636"/>
      <c r="N238" s="644"/>
    </row>
    <row r="239" spans="1:14">
      <c r="A239" s="717">
        <v>1.01</v>
      </c>
      <c r="B239" s="718" t="s">
        <v>588</v>
      </c>
      <c r="C239" s="717">
        <v>10.53</v>
      </c>
      <c r="D239" s="719" t="s">
        <v>38</v>
      </c>
      <c r="E239" s="720">
        <v>28921.24</v>
      </c>
      <c r="F239" s="720">
        <v>304540.65999999997</v>
      </c>
      <c r="G239" s="632">
        <v>7.8974999999999991</v>
      </c>
      <c r="H239" s="642"/>
      <c r="I239" s="642">
        <f>G239+H239</f>
        <v>7.8974999999999991</v>
      </c>
      <c r="J239" s="643">
        <f t="shared" ref="J239:J243" si="129">I239/C239</f>
        <v>0.75</v>
      </c>
      <c r="K239" s="636">
        <v>228405.49289999998</v>
      </c>
      <c r="L239" s="636">
        <f t="shared" ref="L239:L243" si="130">H239*E239</f>
        <v>0</v>
      </c>
      <c r="M239" s="636">
        <f t="shared" ref="M239:M243" si="131">K239+L239</f>
        <v>228405.49289999998</v>
      </c>
      <c r="N239" s="644"/>
    </row>
    <row r="240" spans="1:14">
      <c r="A240" s="717">
        <v>1.02</v>
      </c>
      <c r="B240" s="718" t="s">
        <v>590</v>
      </c>
      <c r="C240" s="717">
        <v>56.47</v>
      </c>
      <c r="D240" s="719" t="s">
        <v>38</v>
      </c>
      <c r="E240" s="720">
        <v>19346.84</v>
      </c>
      <c r="F240" s="720">
        <v>1092515.94</v>
      </c>
      <c r="G240" s="632">
        <v>42.352499999999999</v>
      </c>
      <c r="H240" s="642"/>
      <c r="I240" s="642">
        <f t="shared" ref="I240:I243" si="132">G240+H240</f>
        <v>42.352499999999999</v>
      </c>
      <c r="J240" s="643">
        <f t="shared" si="129"/>
        <v>0.75</v>
      </c>
      <c r="K240" s="636">
        <v>819387.04110000003</v>
      </c>
      <c r="L240" s="636">
        <f t="shared" si="130"/>
        <v>0</v>
      </c>
      <c r="M240" s="636">
        <f t="shared" si="131"/>
        <v>819387.04110000003</v>
      </c>
      <c r="N240" s="644"/>
    </row>
    <row r="241" spans="1:14">
      <c r="A241" s="717">
        <v>1.03</v>
      </c>
      <c r="B241" s="718" t="s">
        <v>591</v>
      </c>
      <c r="C241" s="717">
        <v>21.25</v>
      </c>
      <c r="D241" s="719" t="s">
        <v>38</v>
      </c>
      <c r="E241" s="720">
        <v>29188.959999999999</v>
      </c>
      <c r="F241" s="720">
        <v>620265.4</v>
      </c>
      <c r="G241" s="632">
        <v>15.9375</v>
      </c>
      <c r="H241" s="642"/>
      <c r="I241" s="642">
        <f t="shared" si="132"/>
        <v>15.9375</v>
      </c>
      <c r="J241" s="643">
        <f t="shared" si="129"/>
        <v>0.75</v>
      </c>
      <c r="K241" s="636">
        <v>465199.05</v>
      </c>
      <c r="L241" s="636">
        <f t="shared" si="130"/>
        <v>0</v>
      </c>
      <c r="M241" s="636">
        <f t="shared" si="131"/>
        <v>465199.05</v>
      </c>
      <c r="N241" s="644"/>
    </row>
    <row r="242" spans="1:14">
      <c r="A242" s="717">
        <v>1.04</v>
      </c>
      <c r="B242" s="718" t="s">
        <v>592</v>
      </c>
      <c r="C242" s="717">
        <v>2.38</v>
      </c>
      <c r="D242" s="719" t="s">
        <v>38</v>
      </c>
      <c r="E242" s="720">
        <v>43456.03</v>
      </c>
      <c r="F242" s="720">
        <v>103425.35</v>
      </c>
      <c r="G242" s="632">
        <v>1.7849999999999999</v>
      </c>
      <c r="H242" s="642"/>
      <c r="I242" s="642">
        <f t="shared" si="132"/>
        <v>1.7849999999999999</v>
      </c>
      <c r="J242" s="643">
        <f t="shared" si="129"/>
        <v>0.75</v>
      </c>
      <c r="K242" s="636">
        <v>77569.013549999989</v>
      </c>
      <c r="L242" s="636">
        <f t="shared" si="130"/>
        <v>0</v>
      </c>
      <c r="M242" s="636">
        <f t="shared" si="131"/>
        <v>77569.013549999989</v>
      </c>
      <c r="N242" s="644"/>
    </row>
    <row r="243" spans="1:14">
      <c r="A243" s="717">
        <v>1.05</v>
      </c>
      <c r="B243" s="718" t="s">
        <v>594</v>
      </c>
      <c r="C243" s="717">
        <v>50.38</v>
      </c>
      <c r="D243" s="719" t="s">
        <v>38</v>
      </c>
      <c r="E243" s="720">
        <v>24931.97</v>
      </c>
      <c r="F243" s="720">
        <v>1256072.4099999999</v>
      </c>
      <c r="G243" s="632">
        <v>37.785000000000004</v>
      </c>
      <c r="H243" s="642"/>
      <c r="I243" s="642">
        <f t="shared" si="132"/>
        <v>37.785000000000004</v>
      </c>
      <c r="J243" s="643">
        <f t="shared" si="129"/>
        <v>0.75</v>
      </c>
      <c r="K243" s="636">
        <v>942054.48645000008</v>
      </c>
      <c r="L243" s="636">
        <f t="shared" si="130"/>
        <v>0</v>
      </c>
      <c r="M243" s="636">
        <f t="shared" si="131"/>
        <v>942054.48645000008</v>
      </c>
      <c r="N243" s="644"/>
    </row>
    <row r="244" spans="1:14">
      <c r="A244" s="714"/>
      <c r="B244" s="721" t="s">
        <v>44</v>
      </c>
      <c r="C244" s="721"/>
      <c r="D244" s="722"/>
      <c r="E244" s="721"/>
      <c r="F244" s="723">
        <f>SUM(F239:F243)</f>
        <v>3376819.76</v>
      </c>
      <c r="G244" s="632"/>
      <c r="H244" s="642"/>
      <c r="I244" s="642"/>
      <c r="J244" s="652"/>
      <c r="K244" s="657">
        <f>+SUBTOTAL(9,K239:K243)</f>
        <v>2532615.0840000003</v>
      </c>
      <c r="L244" s="657">
        <f>+SUBTOTAL(9,L239:L243)</f>
        <v>0</v>
      </c>
      <c r="M244" s="657">
        <f>+SUBTOTAL(9,M239:M243)</f>
        <v>2532615.0840000003</v>
      </c>
      <c r="N244" s="644"/>
    </row>
    <row r="245" spans="1:14">
      <c r="A245" s="716">
        <v>2</v>
      </c>
      <c r="B245" s="712" t="s">
        <v>595</v>
      </c>
      <c r="C245" s="713"/>
      <c r="D245" s="714"/>
      <c r="E245" s="713"/>
      <c r="F245" s="715"/>
      <c r="G245" s="632"/>
      <c r="H245" s="642"/>
      <c r="I245" s="642"/>
      <c r="J245" s="652"/>
      <c r="K245" s="636"/>
      <c r="L245" s="636"/>
      <c r="M245" s="636"/>
      <c r="N245" s="644"/>
    </row>
    <row r="246" spans="1:14">
      <c r="A246" s="717">
        <v>2.0099999999999998</v>
      </c>
      <c r="B246" s="718" t="s">
        <v>596</v>
      </c>
      <c r="C246" s="717">
        <v>122.79</v>
      </c>
      <c r="D246" s="719" t="s">
        <v>189</v>
      </c>
      <c r="E246" s="720">
        <v>1479.5</v>
      </c>
      <c r="F246" s="720">
        <v>181667.81</v>
      </c>
      <c r="G246" s="632"/>
      <c r="H246" s="642"/>
      <c r="I246" s="642"/>
      <c r="J246" s="652"/>
      <c r="K246" s="636"/>
      <c r="L246" s="636"/>
      <c r="M246" s="636"/>
      <c r="N246" s="644"/>
    </row>
    <row r="247" spans="1:14">
      <c r="A247" s="714"/>
      <c r="B247" s="721" t="s">
        <v>44</v>
      </c>
      <c r="C247" s="721"/>
      <c r="D247" s="722"/>
      <c r="E247" s="721"/>
      <c r="F247" s="723">
        <f>F246</f>
        <v>181667.81</v>
      </c>
      <c r="G247" s="632"/>
      <c r="H247" s="642"/>
      <c r="I247" s="642"/>
      <c r="J247" s="652"/>
      <c r="K247" s="636"/>
      <c r="L247" s="636"/>
      <c r="M247" s="636"/>
      <c r="N247" s="644"/>
    </row>
    <row r="248" spans="1:14">
      <c r="A248" s="716">
        <v>3</v>
      </c>
      <c r="B248" s="712" t="s">
        <v>597</v>
      </c>
      <c r="C248" s="713"/>
      <c r="D248" s="714"/>
      <c r="E248" s="713"/>
      <c r="F248" s="715"/>
      <c r="G248" s="632"/>
      <c r="H248" s="642"/>
      <c r="I248" s="642"/>
      <c r="J248" s="652"/>
      <c r="K248" s="636"/>
      <c r="L248" s="636"/>
      <c r="M248" s="636"/>
      <c r="N248" s="644"/>
    </row>
    <row r="249" spans="1:14">
      <c r="A249" s="717">
        <v>3.01</v>
      </c>
      <c r="B249" s="718" t="s">
        <v>598</v>
      </c>
      <c r="C249" s="725">
        <v>1173.95</v>
      </c>
      <c r="D249" s="719" t="s">
        <v>189</v>
      </c>
      <c r="E249" s="727">
        <v>64.19</v>
      </c>
      <c r="F249" s="720">
        <v>75355.850000000006</v>
      </c>
      <c r="G249" s="632"/>
      <c r="H249" s="642"/>
      <c r="I249" s="642"/>
      <c r="J249" s="652"/>
      <c r="K249" s="636"/>
      <c r="L249" s="636"/>
      <c r="M249" s="636"/>
      <c r="N249" s="644"/>
    </row>
    <row r="250" spans="1:14" ht="25.5">
      <c r="A250" s="717">
        <v>3.02</v>
      </c>
      <c r="B250" s="718" t="s">
        <v>599</v>
      </c>
      <c r="C250" s="717">
        <v>245.58</v>
      </c>
      <c r="D250" s="719" t="s">
        <v>189</v>
      </c>
      <c r="E250" s="727">
        <v>461.37</v>
      </c>
      <c r="F250" s="720">
        <v>113303.24</v>
      </c>
      <c r="G250" s="632"/>
      <c r="H250" s="642"/>
      <c r="I250" s="642"/>
      <c r="J250" s="652"/>
      <c r="K250" s="636"/>
      <c r="L250" s="636"/>
      <c r="M250" s="636"/>
      <c r="N250" s="644"/>
    </row>
    <row r="251" spans="1:14">
      <c r="A251" s="717">
        <v>3.03</v>
      </c>
      <c r="B251" s="718" t="s">
        <v>600</v>
      </c>
      <c r="C251" s="717">
        <v>27</v>
      </c>
      <c r="D251" s="719" t="s">
        <v>30</v>
      </c>
      <c r="E251" s="727">
        <v>137.16999999999999</v>
      </c>
      <c r="F251" s="720">
        <v>3703.59</v>
      </c>
      <c r="G251" s="632"/>
      <c r="H251" s="642"/>
      <c r="I251" s="642"/>
      <c r="J251" s="652"/>
      <c r="K251" s="636"/>
      <c r="L251" s="636"/>
      <c r="M251" s="636"/>
      <c r="N251" s="644"/>
    </row>
    <row r="252" spans="1:14">
      <c r="A252" s="714"/>
      <c r="B252" s="721" t="s">
        <v>44</v>
      </c>
      <c r="C252" s="721"/>
      <c r="D252" s="722"/>
      <c r="E252" s="721"/>
      <c r="F252" s="723">
        <f>SUM(F249:F251)</f>
        <v>192362.68000000002</v>
      </c>
      <c r="G252" s="632"/>
      <c r="H252" s="642"/>
      <c r="I252" s="642"/>
      <c r="J252" s="652"/>
      <c r="K252" s="636"/>
      <c r="L252" s="636"/>
      <c r="M252" s="636"/>
      <c r="N252" s="644"/>
    </row>
    <row r="253" spans="1:14">
      <c r="A253" s="716">
        <v>4</v>
      </c>
      <c r="B253" s="712" t="s">
        <v>601</v>
      </c>
      <c r="C253" s="713"/>
      <c r="D253" s="714"/>
      <c r="E253" s="713"/>
      <c r="F253" s="715"/>
      <c r="G253" s="632"/>
      <c r="H253" s="642"/>
      <c r="I253" s="642"/>
      <c r="J253" s="652"/>
      <c r="K253" s="636"/>
      <c r="L253" s="636"/>
      <c r="M253" s="636"/>
      <c r="N253" s="644"/>
    </row>
    <row r="254" spans="1:14">
      <c r="A254" s="717">
        <v>4.01</v>
      </c>
      <c r="B254" s="718" t="s">
        <v>602</v>
      </c>
      <c r="C254" s="717">
        <v>32</v>
      </c>
      <c r="D254" s="719" t="s">
        <v>189</v>
      </c>
      <c r="E254" s="720">
        <v>1798.75</v>
      </c>
      <c r="F254" s="720">
        <v>57560</v>
      </c>
      <c r="G254" s="632"/>
      <c r="H254" s="642"/>
      <c r="I254" s="642"/>
      <c r="J254" s="652"/>
      <c r="K254" s="636"/>
      <c r="L254" s="636"/>
      <c r="M254" s="636"/>
      <c r="N254" s="644"/>
    </row>
    <row r="255" spans="1:14">
      <c r="A255" s="717">
        <v>4.0199999999999996</v>
      </c>
      <c r="B255" s="718" t="s">
        <v>603</v>
      </c>
      <c r="C255" s="717">
        <v>2.6</v>
      </c>
      <c r="D255" s="719" t="s">
        <v>189</v>
      </c>
      <c r="E255" s="720">
        <v>1748.75</v>
      </c>
      <c r="F255" s="720">
        <v>4546.75</v>
      </c>
      <c r="G255" s="632"/>
      <c r="H255" s="642"/>
      <c r="I255" s="642"/>
      <c r="J255" s="652"/>
      <c r="K255" s="636"/>
      <c r="L255" s="636"/>
      <c r="M255" s="636"/>
      <c r="N255" s="644"/>
    </row>
    <row r="256" spans="1:14">
      <c r="A256" s="717">
        <v>4.03</v>
      </c>
      <c r="B256" s="718" t="s">
        <v>604</v>
      </c>
      <c r="C256" s="717">
        <v>891.14</v>
      </c>
      <c r="D256" s="719" t="s">
        <v>605</v>
      </c>
      <c r="E256" s="727">
        <v>649</v>
      </c>
      <c r="F256" s="720">
        <v>578351.93999999994</v>
      </c>
      <c r="G256" s="632"/>
      <c r="H256" s="642"/>
      <c r="I256" s="642"/>
      <c r="J256" s="652"/>
      <c r="K256" s="636"/>
      <c r="L256" s="636"/>
      <c r="M256" s="636"/>
      <c r="N256" s="644"/>
    </row>
    <row r="257" spans="1:14">
      <c r="A257" s="717">
        <v>4.04</v>
      </c>
      <c r="B257" s="718" t="s">
        <v>606</v>
      </c>
      <c r="C257" s="717">
        <v>197.91</v>
      </c>
      <c r="D257" s="719" t="s">
        <v>189</v>
      </c>
      <c r="E257" s="720">
        <v>6983.24</v>
      </c>
      <c r="F257" s="720">
        <v>1382053.03</v>
      </c>
      <c r="G257" s="632"/>
      <c r="H257" s="642"/>
      <c r="I257" s="642"/>
      <c r="J257" s="652"/>
      <c r="K257" s="636"/>
      <c r="L257" s="636"/>
      <c r="M257" s="636"/>
      <c r="N257" s="644"/>
    </row>
    <row r="258" spans="1:14">
      <c r="A258" s="717">
        <v>4.05</v>
      </c>
      <c r="B258" s="718" t="s">
        <v>607</v>
      </c>
      <c r="C258" s="717">
        <v>8</v>
      </c>
      <c r="D258" s="719" t="s">
        <v>189</v>
      </c>
      <c r="E258" s="720">
        <v>1282.6300000000001</v>
      </c>
      <c r="F258" s="720">
        <v>10261.02</v>
      </c>
      <c r="G258" s="632"/>
      <c r="H258" s="642"/>
      <c r="I258" s="642"/>
      <c r="J258" s="652"/>
      <c r="K258" s="636"/>
      <c r="L258" s="636"/>
      <c r="M258" s="636"/>
      <c r="N258" s="644"/>
    </row>
    <row r="259" spans="1:14">
      <c r="A259" s="717">
        <v>4.0599999999999996</v>
      </c>
      <c r="B259" s="718" t="s">
        <v>608</v>
      </c>
      <c r="C259" s="717">
        <v>35</v>
      </c>
      <c r="D259" s="719" t="s">
        <v>189</v>
      </c>
      <c r="E259" s="720">
        <v>1441.41</v>
      </c>
      <c r="F259" s="720">
        <v>50449.36</v>
      </c>
      <c r="G259" s="632"/>
      <c r="H259" s="642"/>
      <c r="I259" s="642"/>
      <c r="J259" s="652"/>
      <c r="K259" s="636"/>
      <c r="L259" s="636"/>
      <c r="M259" s="636"/>
      <c r="N259" s="644"/>
    </row>
    <row r="260" spans="1:14">
      <c r="A260" s="714"/>
      <c r="B260" s="721" t="s">
        <v>44</v>
      </c>
      <c r="C260" s="721"/>
      <c r="D260" s="722"/>
      <c r="E260" s="721"/>
      <c r="F260" s="723">
        <f>SUM(F254:F259)</f>
        <v>2083222.1</v>
      </c>
      <c r="G260" s="632"/>
      <c r="H260" s="642"/>
      <c r="I260" s="642"/>
      <c r="J260" s="652"/>
      <c r="K260" s="636"/>
      <c r="L260" s="636"/>
      <c r="M260" s="636"/>
      <c r="N260" s="644"/>
    </row>
    <row r="261" spans="1:14">
      <c r="A261" s="716">
        <v>5</v>
      </c>
      <c r="B261" s="712" t="s">
        <v>609</v>
      </c>
      <c r="C261" s="713"/>
      <c r="D261" s="714"/>
      <c r="E261" s="713"/>
      <c r="F261" s="715"/>
      <c r="G261" s="632"/>
      <c r="H261" s="642"/>
      <c r="I261" s="642"/>
      <c r="J261" s="652"/>
      <c r="K261" s="636"/>
      <c r="L261" s="636"/>
      <c r="M261" s="636"/>
      <c r="N261" s="644"/>
    </row>
    <row r="262" spans="1:14">
      <c r="A262" s="717">
        <v>5.01</v>
      </c>
      <c r="B262" s="718" t="s">
        <v>610</v>
      </c>
      <c r="C262" s="717">
        <v>458</v>
      </c>
      <c r="D262" s="719" t="s">
        <v>189</v>
      </c>
      <c r="E262" s="720">
        <v>1800.51</v>
      </c>
      <c r="F262" s="720">
        <v>824633.58</v>
      </c>
      <c r="G262" s="632"/>
      <c r="H262" s="642"/>
      <c r="I262" s="642"/>
      <c r="J262" s="652"/>
      <c r="K262" s="636"/>
      <c r="L262" s="636"/>
      <c r="M262" s="636"/>
      <c r="N262" s="644"/>
    </row>
    <row r="263" spans="1:14">
      <c r="A263" s="717">
        <v>5.0199999999999996</v>
      </c>
      <c r="B263" s="718" t="s">
        <v>611</v>
      </c>
      <c r="C263" s="717">
        <v>110.78</v>
      </c>
      <c r="D263" s="719" t="s">
        <v>30</v>
      </c>
      <c r="E263" s="727">
        <v>277.51</v>
      </c>
      <c r="F263" s="720">
        <v>30742.560000000001</v>
      </c>
      <c r="G263" s="632"/>
      <c r="H263" s="642"/>
      <c r="I263" s="642"/>
      <c r="J263" s="652"/>
      <c r="K263" s="636"/>
      <c r="L263" s="636"/>
      <c r="M263" s="636"/>
      <c r="N263" s="644"/>
    </row>
    <row r="264" spans="1:14">
      <c r="A264" s="717">
        <v>5.03</v>
      </c>
      <c r="B264" s="718" t="s">
        <v>612</v>
      </c>
      <c r="C264" s="717">
        <v>35</v>
      </c>
      <c r="D264" s="719" t="s">
        <v>189</v>
      </c>
      <c r="E264" s="720">
        <v>1948.43</v>
      </c>
      <c r="F264" s="720">
        <v>68195.05</v>
      </c>
      <c r="G264" s="632"/>
      <c r="H264" s="642"/>
      <c r="I264" s="642"/>
      <c r="J264" s="652"/>
      <c r="K264" s="636"/>
      <c r="L264" s="636"/>
      <c r="M264" s="636"/>
      <c r="N264" s="644"/>
    </row>
    <row r="265" spans="1:14">
      <c r="A265" s="714"/>
      <c r="B265" s="721" t="s">
        <v>44</v>
      </c>
      <c r="C265" s="721"/>
      <c r="D265" s="722"/>
      <c r="E265" s="721"/>
      <c r="F265" s="723">
        <f>SUM(F262:F264)</f>
        <v>923571.19000000006</v>
      </c>
      <c r="G265" s="632"/>
      <c r="H265" s="642"/>
      <c r="I265" s="642"/>
      <c r="J265" s="652"/>
      <c r="K265" s="636"/>
      <c r="L265" s="636"/>
      <c r="M265" s="636"/>
      <c r="N265" s="644"/>
    </row>
    <row r="266" spans="1:14">
      <c r="A266" s="716">
        <v>6</v>
      </c>
      <c r="B266" s="712" t="s">
        <v>613</v>
      </c>
      <c r="C266" s="713"/>
      <c r="D266" s="714"/>
      <c r="E266" s="713"/>
      <c r="F266" s="715"/>
      <c r="G266" s="632"/>
      <c r="H266" s="642"/>
      <c r="I266" s="642"/>
      <c r="J266" s="652"/>
      <c r="K266" s="636"/>
      <c r="L266" s="636"/>
      <c r="M266" s="636"/>
      <c r="N266" s="644"/>
    </row>
    <row r="267" spans="1:14" ht="25.5">
      <c r="A267" s="717">
        <v>6.01</v>
      </c>
      <c r="B267" s="718" t="s">
        <v>614</v>
      </c>
      <c r="C267" s="717">
        <v>1</v>
      </c>
      <c r="D267" s="719" t="s">
        <v>32</v>
      </c>
      <c r="E267" s="720">
        <v>40655.199999999997</v>
      </c>
      <c r="F267" s="720">
        <v>40655.199999999997</v>
      </c>
      <c r="G267" s="632"/>
      <c r="H267" s="642"/>
      <c r="I267" s="642"/>
      <c r="J267" s="652"/>
      <c r="K267" s="636"/>
      <c r="L267" s="636"/>
      <c r="M267" s="636"/>
      <c r="N267" s="644"/>
    </row>
    <row r="268" spans="1:14">
      <c r="A268" s="717">
        <v>6.02</v>
      </c>
      <c r="B268" s="718" t="s">
        <v>615</v>
      </c>
      <c r="C268" s="717">
        <v>3</v>
      </c>
      <c r="D268" s="719" t="s">
        <v>32</v>
      </c>
      <c r="E268" s="720">
        <v>25259.82</v>
      </c>
      <c r="F268" s="720">
        <v>75779.460000000006</v>
      </c>
      <c r="G268" s="632"/>
      <c r="H268" s="642"/>
      <c r="I268" s="642"/>
      <c r="J268" s="652"/>
      <c r="K268" s="636"/>
      <c r="L268" s="636"/>
      <c r="M268" s="636"/>
      <c r="N268" s="644"/>
    </row>
    <row r="269" spans="1:14">
      <c r="A269" s="717">
        <v>6.03</v>
      </c>
      <c r="B269" s="718" t="s">
        <v>616</v>
      </c>
      <c r="C269" s="717">
        <v>5</v>
      </c>
      <c r="D269" s="719" t="s">
        <v>32</v>
      </c>
      <c r="E269" s="720">
        <v>19857.84</v>
      </c>
      <c r="F269" s="720">
        <v>99289.2</v>
      </c>
      <c r="G269" s="632"/>
      <c r="H269" s="642"/>
      <c r="I269" s="642"/>
      <c r="J269" s="652"/>
      <c r="K269" s="636"/>
      <c r="L269" s="636"/>
      <c r="M269" s="636"/>
      <c r="N269" s="644"/>
    </row>
    <row r="270" spans="1:14">
      <c r="A270" s="714"/>
      <c r="B270" s="721" t="s">
        <v>44</v>
      </c>
      <c r="C270" s="721"/>
      <c r="D270" s="722"/>
      <c r="E270" s="721"/>
      <c r="F270" s="723">
        <f>SUM(F267:F269)</f>
        <v>215723.86</v>
      </c>
      <c r="G270" s="632"/>
      <c r="H270" s="642"/>
      <c r="I270" s="642"/>
      <c r="J270" s="652"/>
      <c r="K270" s="636"/>
      <c r="L270" s="636"/>
      <c r="M270" s="636"/>
      <c r="N270" s="644"/>
    </row>
    <row r="271" spans="1:14">
      <c r="A271" s="716">
        <v>7</v>
      </c>
      <c r="B271" s="712" t="s">
        <v>617</v>
      </c>
      <c r="C271" s="713"/>
      <c r="D271" s="714"/>
      <c r="E271" s="713"/>
      <c r="F271" s="715"/>
      <c r="G271" s="632"/>
      <c r="H271" s="642"/>
      <c r="I271" s="642"/>
      <c r="J271" s="652"/>
      <c r="K271" s="636"/>
      <c r="L271" s="636"/>
      <c r="M271" s="636"/>
      <c r="N271" s="644"/>
    </row>
    <row r="272" spans="1:14" ht="25.5">
      <c r="A272" s="717">
        <v>7.01</v>
      </c>
      <c r="B272" s="718" t="s">
        <v>618</v>
      </c>
      <c r="C272" s="717">
        <v>10.34</v>
      </c>
      <c r="D272" s="719" t="s">
        <v>605</v>
      </c>
      <c r="E272" s="727">
        <v>882.05</v>
      </c>
      <c r="F272" s="720">
        <v>9120.4</v>
      </c>
      <c r="G272" s="632"/>
      <c r="H272" s="642"/>
      <c r="I272" s="642"/>
      <c r="J272" s="652"/>
      <c r="K272" s="636"/>
      <c r="L272" s="636"/>
      <c r="M272" s="636"/>
      <c r="N272" s="644"/>
    </row>
    <row r="273" spans="1:14">
      <c r="A273" s="714"/>
      <c r="B273" s="721" t="s">
        <v>44</v>
      </c>
      <c r="C273" s="721"/>
      <c r="D273" s="722"/>
      <c r="E273" s="721"/>
      <c r="F273" s="723">
        <f>F272</f>
        <v>9120.4</v>
      </c>
      <c r="G273" s="632"/>
      <c r="H273" s="642"/>
      <c r="I273" s="642"/>
      <c r="J273" s="652"/>
      <c r="K273" s="636"/>
      <c r="L273" s="636"/>
      <c r="M273" s="636"/>
      <c r="N273" s="644"/>
    </row>
    <row r="274" spans="1:14">
      <c r="A274" s="716">
        <v>8</v>
      </c>
      <c r="B274" s="712" t="s">
        <v>274</v>
      </c>
      <c r="C274" s="713"/>
      <c r="D274" s="714"/>
      <c r="E274" s="713"/>
      <c r="F274" s="715"/>
      <c r="G274" s="632"/>
      <c r="H274" s="642"/>
      <c r="I274" s="642"/>
      <c r="J274" s="652"/>
      <c r="K274" s="636"/>
      <c r="L274" s="636"/>
      <c r="M274" s="636"/>
      <c r="N274" s="644"/>
    </row>
    <row r="275" spans="1:14">
      <c r="A275" s="717">
        <v>8.01</v>
      </c>
      <c r="B275" s="718" t="s">
        <v>619</v>
      </c>
      <c r="C275" s="717">
        <v>17</v>
      </c>
      <c r="D275" s="719" t="s">
        <v>30</v>
      </c>
      <c r="E275" s="720">
        <v>2764.21</v>
      </c>
      <c r="F275" s="720">
        <v>46991.57</v>
      </c>
      <c r="G275" s="632"/>
      <c r="H275" s="642"/>
      <c r="I275" s="642"/>
      <c r="J275" s="652"/>
      <c r="K275" s="636"/>
      <c r="L275" s="636"/>
      <c r="M275" s="636"/>
      <c r="N275" s="644"/>
    </row>
    <row r="276" spans="1:14">
      <c r="A276" s="717">
        <v>8.02</v>
      </c>
      <c r="B276" s="718" t="s">
        <v>620</v>
      </c>
      <c r="C276" s="717">
        <v>4</v>
      </c>
      <c r="D276" s="719" t="s">
        <v>189</v>
      </c>
      <c r="E276" s="720">
        <v>1800.51</v>
      </c>
      <c r="F276" s="720">
        <v>7202.04</v>
      </c>
      <c r="G276" s="632"/>
      <c r="H276" s="642"/>
      <c r="I276" s="642"/>
      <c r="J276" s="652"/>
      <c r="K276" s="636"/>
      <c r="L276" s="636"/>
      <c r="M276" s="636"/>
      <c r="N276" s="644"/>
    </row>
    <row r="277" spans="1:14">
      <c r="A277" s="714"/>
      <c r="B277" s="721" t="s">
        <v>44</v>
      </c>
      <c r="C277" s="721"/>
      <c r="D277" s="722"/>
      <c r="E277" s="721"/>
      <c r="F277" s="723">
        <f>SUM(F275:F276)</f>
        <v>54193.61</v>
      </c>
      <c r="G277" s="632"/>
      <c r="H277" s="642"/>
      <c r="I277" s="642"/>
      <c r="J277" s="652"/>
      <c r="K277" s="636"/>
      <c r="L277" s="636"/>
      <c r="M277" s="636"/>
      <c r="N277" s="644"/>
    </row>
    <row r="278" spans="1:14">
      <c r="A278" s="716">
        <v>9</v>
      </c>
      <c r="B278" s="712" t="s">
        <v>621</v>
      </c>
      <c r="C278" s="713"/>
      <c r="D278" s="714"/>
      <c r="E278" s="713"/>
      <c r="F278" s="715"/>
      <c r="G278" s="632"/>
      <c r="H278" s="642"/>
      <c r="I278" s="642"/>
      <c r="J278" s="652"/>
      <c r="K278" s="636"/>
      <c r="L278" s="636"/>
      <c r="M278" s="636"/>
      <c r="N278" s="644"/>
    </row>
    <row r="279" spans="1:14">
      <c r="A279" s="717">
        <v>9.01</v>
      </c>
      <c r="B279" s="718" t="s">
        <v>622</v>
      </c>
      <c r="C279" s="725">
        <v>1585.32</v>
      </c>
      <c r="D279" s="719" t="s">
        <v>189</v>
      </c>
      <c r="E279" s="727">
        <v>300.42</v>
      </c>
      <c r="F279" s="720">
        <v>476261.83</v>
      </c>
      <c r="G279" s="632"/>
      <c r="H279" s="642"/>
      <c r="I279" s="642"/>
      <c r="J279" s="652"/>
      <c r="K279" s="636"/>
      <c r="L279" s="636"/>
      <c r="M279" s="636"/>
      <c r="N279" s="644"/>
    </row>
    <row r="280" spans="1:14">
      <c r="A280" s="714"/>
      <c r="B280" s="721" t="s">
        <v>44</v>
      </c>
      <c r="C280" s="721"/>
      <c r="D280" s="722"/>
      <c r="E280" s="721"/>
      <c r="F280" s="723">
        <f>F279</f>
        <v>476261.83</v>
      </c>
      <c r="G280" s="632"/>
      <c r="H280" s="642"/>
      <c r="I280" s="642"/>
      <c r="J280" s="652"/>
      <c r="K280" s="636"/>
      <c r="L280" s="636"/>
      <c r="M280" s="636"/>
      <c r="N280" s="644"/>
    </row>
    <row r="281" spans="1:14">
      <c r="A281" s="716">
        <v>10</v>
      </c>
      <c r="B281" s="712" t="s">
        <v>623</v>
      </c>
      <c r="C281" s="713"/>
      <c r="D281" s="714"/>
      <c r="E281" s="713"/>
      <c r="F281" s="715"/>
      <c r="G281" s="632"/>
      <c r="H281" s="642"/>
      <c r="I281" s="642"/>
      <c r="J281" s="652"/>
      <c r="K281" s="636"/>
      <c r="L281" s="636"/>
      <c r="M281" s="636"/>
      <c r="N281" s="644"/>
    </row>
    <row r="282" spans="1:14">
      <c r="A282" s="717">
        <v>10.01</v>
      </c>
      <c r="B282" s="718" t="s">
        <v>624</v>
      </c>
      <c r="C282" s="713"/>
      <c r="D282" s="714"/>
      <c r="E282" s="713"/>
      <c r="F282" s="715"/>
      <c r="G282" s="632"/>
      <c r="H282" s="642"/>
      <c r="I282" s="642"/>
      <c r="J282" s="652"/>
      <c r="K282" s="636"/>
      <c r="L282" s="636"/>
      <c r="M282" s="636"/>
      <c r="N282" s="644"/>
    </row>
    <row r="283" spans="1:14">
      <c r="A283" s="717">
        <v>10.02</v>
      </c>
      <c r="B283" s="718" t="s">
        <v>625</v>
      </c>
      <c r="C283" s="717">
        <v>5.4</v>
      </c>
      <c r="D283" s="719" t="s">
        <v>189</v>
      </c>
      <c r="E283" s="720">
        <v>6543.33</v>
      </c>
      <c r="F283" s="720">
        <v>35334</v>
      </c>
      <c r="G283" s="632"/>
      <c r="H283" s="642"/>
      <c r="I283" s="642"/>
      <c r="J283" s="652"/>
      <c r="K283" s="636"/>
      <c r="L283" s="636"/>
      <c r="M283" s="636"/>
      <c r="N283" s="644"/>
    </row>
    <row r="284" spans="1:14">
      <c r="A284" s="717">
        <v>10.029999999999999</v>
      </c>
      <c r="B284" s="718" t="s">
        <v>626</v>
      </c>
      <c r="C284" s="717">
        <v>6</v>
      </c>
      <c r="D284" s="719" t="s">
        <v>32</v>
      </c>
      <c r="E284" s="720">
        <v>10994.43</v>
      </c>
      <c r="F284" s="720">
        <v>65966.58</v>
      </c>
      <c r="G284" s="632"/>
      <c r="H284" s="642"/>
      <c r="I284" s="642"/>
      <c r="J284" s="652"/>
      <c r="K284" s="636"/>
      <c r="L284" s="636"/>
      <c r="M284" s="636"/>
      <c r="N284" s="644"/>
    </row>
    <row r="285" spans="1:14">
      <c r="A285" s="717">
        <v>10.039999999999999</v>
      </c>
      <c r="B285" s="718" t="s">
        <v>627</v>
      </c>
      <c r="C285" s="717">
        <v>8</v>
      </c>
      <c r="D285" s="719" t="s">
        <v>32</v>
      </c>
      <c r="E285" s="720">
        <v>12551.71</v>
      </c>
      <c r="F285" s="720">
        <v>100413.68</v>
      </c>
      <c r="G285" s="632"/>
      <c r="H285" s="642"/>
      <c r="I285" s="642"/>
      <c r="J285" s="652"/>
      <c r="K285" s="636"/>
      <c r="L285" s="636"/>
      <c r="M285" s="636"/>
      <c r="N285" s="644"/>
    </row>
    <row r="286" spans="1:14">
      <c r="A286" s="717">
        <v>10.050000000000001</v>
      </c>
      <c r="B286" s="718" t="s">
        <v>628</v>
      </c>
      <c r="C286" s="717">
        <v>2</v>
      </c>
      <c r="D286" s="719" t="s">
        <v>32</v>
      </c>
      <c r="E286" s="720">
        <v>2783.77</v>
      </c>
      <c r="F286" s="720">
        <v>5567.54</v>
      </c>
      <c r="G286" s="632"/>
      <c r="H286" s="642"/>
      <c r="I286" s="642"/>
      <c r="J286" s="652"/>
      <c r="K286" s="636"/>
      <c r="L286" s="636"/>
      <c r="M286" s="636"/>
      <c r="N286" s="644"/>
    </row>
    <row r="287" spans="1:14">
      <c r="A287" s="717">
        <v>10.06</v>
      </c>
      <c r="B287" s="718" t="s">
        <v>629</v>
      </c>
      <c r="C287" s="717">
        <v>2</v>
      </c>
      <c r="D287" s="719" t="s">
        <v>32</v>
      </c>
      <c r="E287" s="720">
        <v>10709.95</v>
      </c>
      <c r="F287" s="720">
        <v>21419.9</v>
      </c>
      <c r="G287" s="632"/>
      <c r="H287" s="642"/>
      <c r="I287" s="642"/>
      <c r="J287" s="652"/>
      <c r="K287" s="636"/>
      <c r="L287" s="636"/>
      <c r="M287" s="636"/>
      <c r="N287" s="644"/>
    </row>
    <row r="288" spans="1:14">
      <c r="A288" s="717">
        <v>10.07</v>
      </c>
      <c r="B288" s="718" t="s">
        <v>647</v>
      </c>
      <c r="C288" s="717">
        <v>1</v>
      </c>
      <c r="D288" s="719" t="s">
        <v>32</v>
      </c>
      <c r="E288" s="720">
        <v>2239.4499999999998</v>
      </c>
      <c r="F288" s="720">
        <v>2239.4499999999998</v>
      </c>
      <c r="G288" s="632"/>
      <c r="H288" s="642"/>
      <c r="I288" s="642"/>
      <c r="J288" s="652"/>
      <c r="K288" s="636"/>
      <c r="L288" s="636"/>
      <c r="M288" s="636"/>
      <c r="N288" s="644"/>
    </row>
    <row r="289" spans="1:14">
      <c r="A289" s="717">
        <v>10.08</v>
      </c>
      <c r="B289" s="718" t="s">
        <v>631</v>
      </c>
      <c r="C289" s="717">
        <v>1</v>
      </c>
      <c r="D289" s="719" t="s">
        <v>88</v>
      </c>
      <c r="E289" s="720">
        <v>135000</v>
      </c>
      <c r="F289" s="720">
        <v>135000</v>
      </c>
      <c r="G289" s="632"/>
      <c r="H289" s="642"/>
      <c r="I289" s="642"/>
      <c r="J289" s="652"/>
      <c r="K289" s="636"/>
      <c r="L289" s="636"/>
      <c r="M289" s="636"/>
      <c r="N289" s="644"/>
    </row>
    <row r="290" spans="1:14">
      <c r="A290" s="717">
        <v>10.09</v>
      </c>
      <c r="B290" s="718" t="s">
        <v>632</v>
      </c>
      <c r="C290" s="713"/>
      <c r="D290" s="714"/>
      <c r="E290" s="713"/>
      <c r="F290" s="715"/>
      <c r="G290" s="632"/>
      <c r="H290" s="642"/>
      <c r="I290" s="642"/>
      <c r="J290" s="652"/>
      <c r="K290" s="636"/>
      <c r="L290" s="636"/>
      <c r="M290" s="636"/>
      <c r="N290" s="644"/>
    </row>
    <row r="291" spans="1:14">
      <c r="A291" s="717">
        <v>10.1</v>
      </c>
      <c r="B291" s="718" t="s">
        <v>633</v>
      </c>
      <c r="C291" s="717">
        <v>10</v>
      </c>
      <c r="D291" s="719" t="s">
        <v>353</v>
      </c>
      <c r="E291" s="720">
        <v>2955</v>
      </c>
      <c r="F291" s="720">
        <v>29550</v>
      </c>
      <c r="G291" s="632"/>
      <c r="H291" s="642"/>
      <c r="I291" s="642"/>
      <c r="J291" s="652"/>
      <c r="K291" s="636"/>
      <c r="L291" s="636"/>
      <c r="M291" s="636"/>
      <c r="N291" s="644"/>
    </row>
    <row r="292" spans="1:14">
      <c r="A292" s="717">
        <v>10.11</v>
      </c>
      <c r="B292" s="718" t="s">
        <v>625</v>
      </c>
      <c r="C292" s="717">
        <v>1.2</v>
      </c>
      <c r="D292" s="719" t="s">
        <v>189</v>
      </c>
      <c r="E292" s="720">
        <v>6790</v>
      </c>
      <c r="F292" s="720">
        <v>8148</v>
      </c>
      <c r="G292" s="632"/>
      <c r="H292" s="642"/>
      <c r="I292" s="642"/>
      <c r="J292" s="652"/>
      <c r="K292" s="636"/>
      <c r="L292" s="636"/>
      <c r="M292" s="636"/>
      <c r="N292" s="644"/>
    </row>
    <row r="293" spans="1:14">
      <c r="A293" s="717">
        <v>10.119999999999999</v>
      </c>
      <c r="B293" s="718" t="s">
        <v>634</v>
      </c>
      <c r="C293" s="717">
        <v>1</v>
      </c>
      <c r="D293" s="719" t="s">
        <v>32</v>
      </c>
      <c r="E293" s="720">
        <v>14106.81</v>
      </c>
      <c r="F293" s="720">
        <v>14106.81</v>
      </c>
      <c r="G293" s="632"/>
      <c r="H293" s="642"/>
      <c r="I293" s="642"/>
      <c r="J293" s="652"/>
      <c r="K293" s="636"/>
      <c r="L293" s="636"/>
      <c r="M293" s="636"/>
      <c r="N293" s="644"/>
    </row>
    <row r="294" spans="1:14">
      <c r="A294" s="717">
        <v>10.130000000000001</v>
      </c>
      <c r="B294" s="718" t="s">
        <v>647</v>
      </c>
      <c r="C294" s="717">
        <v>1</v>
      </c>
      <c r="D294" s="719" t="s">
        <v>32</v>
      </c>
      <c r="E294" s="720">
        <v>2239.4499999999998</v>
      </c>
      <c r="F294" s="720">
        <v>2239.4499999999998</v>
      </c>
      <c r="G294" s="632"/>
      <c r="H294" s="642"/>
      <c r="I294" s="642"/>
      <c r="J294" s="652"/>
      <c r="K294" s="636"/>
      <c r="L294" s="636"/>
      <c r="M294" s="636"/>
      <c r="N294" s="644"/>
    </row>
    <row r="295" spans="1:14">
      <c r="A295" s="714"/>
      <c r="B295" s="721" t="s">
        <v>44</v>
      </c>
      <c r="C295" s="713"/>
      <c r="D295" s="714"/>
      <c r="E295" s="713"/>
      <c r="F295" s="723">
        <f>SUM(F283:F294)</f>
        <v>419985.41000000003</v>
      </c>
      <c r="G295" s="632"/>
      <c r="H295" s="642"/>
      <c r="I295" s="642"/>
      <c r="J295" s="652"/>
      <c r="K295" s="636"/>
      <c r="L295" s="636"/>
      <c r="M295" s="636"/>
      <c r="N295" s="644"/>
    </row>
    <row r="296" spans="1:14">
      <c r="A296" s="716">
        <v>11</v>
      </c>
      <c r="B296" s="712" t="s">
        <v>636</v>
      </c>
      <c r="C296" s="713"/>
      <c r="D296" s="714"/>
      <c r="E296" s="713"/>
      <c r="F296" s="715"/>
      <c r="G296" s="632"/>
      <c r="H296" s="642"/>
      <c r="I296" s="642"/>
      <c r="J296" s="652"/>
      <c r="K296" s="636"/>
      <c r="L296" s="636"/>
      <c r="M296" s="636"/>
      <c r="N296" s="644"/>
    </row>
    <row r="297" spans="1:14">
      <c r="A297" s="717">
        <v>11.01</v>
      </c>
      <c r="B297" s="718" t="s">
        <v>637</v>
      </c>
      <c r="C297" s="717">
        <v>44</v>
      </c>
      <c r="D297" s="719" t="s">
        <v>32</v>
      </c>
      <c r="E297" s="720">
        <v>1473.68</v>
      </c>
      <c r="F297" s="720">
        <v>64841.919999999998</v>
      </c>
      <c r="G297" s="632"/>
      <c r="H297" s="642"/>
      <c r="I297" s="642"/>
      <c r="J297" s="652"/>
      <c r="K297" s="636"/>
      <c r="L297" s="636"/>
      <c r="M297" s="636"/>
      <c r="N297" s="644"/>
    </row>
    <row r="298" spans="1:14">
      <c r="A298" s="717">
        <v>11.02</v>
      </c>
      <c r="B298" s="718" t="s">
        <v>638</v>
      </c>
      <c r="C298" s="717">
        <v>10</v>
      </c>
      <c r="D298" s="719" t="s">
        <v>32</v>
      </c>
      <c r="E298" s="720">
        <v>1586.98</v>
      </c>
      <c r="F298" s="720">
        <v>15869.76</v>
      </c>
      <c r="G298" s="632"/>
      <c r="H298" s="642"/>
      <c r="I298" s="642"/>
      <c r="J298" s="652"/>
      <c r="K298" s="636"/>
      <c r="L298" s="636"/>
      <c r="M298" s="636"/>
      <c r="N298" s="644"/>
    </row>
    <row r="299" spans="1:14">
      <c r="A299" s="717">
        <v>11.03</v>
      </c>
      <c r="B299" s="718" t="s">
        <v>639</v>
      </c>
      <c r="C299" s="717">
        <v>2</v>
      </c>
      <c r="D299" s="719" t="s">
        <v>32</v>
      </c>
      <c r="E299" s="720">
        <v>2082.37</v>
      </c>
      <c r="F299" s="720">
        <v>4164.74</v>
      </c>
      <c r="G299" s="632"/>
      <c r="H299" s="642"/>
      <c r="I299" s="642"/>
      <c r="J299" s="652"/>
      <c r="K299" s="636"/>
      <c r="L299" s="636"/>
      <c r="M299" s="636"/>
      <c r="N299" s="644"/>
    </row>
    <row r="300" spans="1:14">
      <c r="A300" s="717">
        <v>11.04</v>
      </c>
      <c r="B300" s="718" t="s">
        <v>640</v>
      </c>
      <c r="C300" s="717">
        <v>1</v>
      </c>
      <c r="D300" s="719" t="s">
        <v>32</v>
      </c>
      <c r="E300" s="720">
        <v>2452.84</v>
      </c>
      <c r="F300" s="720">
        <v>2452.84</v>
      </c>
      <c r="G300" s="632"/>
      <c r="H300" s="642"/>
      <c r="I300" s="642"/>
      <c r="J300" s="652"/>
      <c r="K300" s="636"/>
      <c r="L300" s="636"/>
      <c r="M300" s="636"/>
      <c r="N300" s="644"/>
    </row>
    <row r="301" spans="1:14">
      <c r="A301" s="717">
        <v>11.05</v>
      </c>
      <c r="B301" s="718" t="s">
        <v>641</v>
      </c>
      <c r="C301" s="717">
        <v>2</v>
      </c>
      <c r="D301" s="719" t="s">
        <v>32</v>
      </c>
      <c r="E301" s="720">
        <v>1944.31</v>
      </c>
      <c r="F301" s="720">
        <v>3888.62</v>
      </c>
      <c r="G301" s="632"/>
      <c r="H301" s="642"/>
      <c r="I301" s="642"/>
      <c r="J301" s="652"/>
      <c r="K301" s="636"/>
      <c r="L301" s="636"/>
      <c r="M301" s="636"/>
      <c r="N301" s="644"/>
    </row>
    <row r="302" spans="1:14">
      <c r="A302" s="717">
        <v>11.06</v>
      </c>
      <c r="B302" s="718" t="s">
        <v>642</v>
      </c>
      <c r="C302" s="717">
        <v>30</v>
      </c>
      <c r="D302" s="719" t="s">
        <v>32</v>
      </c>
      <c r="E302" s="720">
        <v>1859.58</v>
      </c>
      <c r="F302" s="720">
        <v>55787.4</v>
      </c>
      <c r="G302" s="632"/>
      <c r="H302" s="642"/>
      <c r="I302" s="642"/>
      <c r="J302" s="652"/>
      <c r="K302" s="636"/>
      <c r="L302" s="636"/>
      <c r="M302" s="636"/>
      <c r="N302" s="644"/>
    </row>
    <row r="303" spans="1:14">
      <c r="A303" s="717">
        <v>11.07</v>
      </c>
      <c r="B303" s="718" t="s">
        <v>643</v>
      </c>
      <c r="C303" s="717">
        <v>12</v>
      </c>
      <c r="D303" s="719" t="s">
        <v>32</v>
      </c>
      <c r="E303" s="720">
        <v>3945.79</v>
      </c>
      <c r="F303" s="720">
        <v>47349.48</v>
      </c>
      <c r="G303" s="632"/>
      <c r="H303" s="642"/>
      <c r="I303" s="642"/>
      <c r="J303" s="652"/>
      <c r="K303" s="636"/>
      <c r="L303" s="636"/>
      <c r="M303" s="636"/>
      <c r="N303" s="644"/>
    </row>
    <row r="304" spans="1:14">
      <c r="A304" s="717">
        <v>11.08</v>
      </c>
      <c r="B304" s="718" t="s">
        <v>644</v>
      </c>
      <c r="C304" s="717">
        <v>16</v>
      </c>
      <c r="D304" s="719" t="s">
        <v>32</v>
      </c>
      <c r="E304" s="720">
        <v>1368.29</v>
      </c>
      <c r="F304" s="720">
        <v>21892.639999999999</v>
      </c>
      <c r="G304" s="632"/>
      <c r="H304" s="642"/>
      <c r="I304" s="642"/>
      <c r="J304" s="652"/>
      <c r="K304" s="636"/>
      <c r="L304" s="636"/>
      <c r="M304" s="636"/>
      <c r="N304" s="644"/>
    </row>
    <row r="305" spans="1:14">
      <c r="A305" s="729">
        <v>11.09</v>
      </c>
      <c r="B305" s="730" t="s">
        <v>645</v>
      </c>
      <c r="C305" s="729">
        <v>1</v>
      </c>
      <c r="D305" s="731" t="s">
        <v>32</v>
      </c>
      <c r="E305" s="732">
        <v>16939.810000000001</v>
      </c>
      <c r="F305" s="732">
        <v>16939.810000000001</v>
      </c>
      <c r="G305" s="632"/>
      <c r="H305" s="642"/>
      <c r="I305" s="642"/>
      <c r="J305" s="652"/>
      <c r="K305" s="636"/>
      <c r="L305" s="636"/>
      <c r="M305" s="636"/>
      <c r="N305" s="644"/>
    </row>
    <row r="306" spans="1:14">
      <c r="A306" s="702"/>
      <c r="B306" s="706" t="s">
        <v>44</v>
      </c>
      <c r="C306" s="707"/>
      <c r="D306" s="708"/>
      <c r="E306" s="709"/>
      <c r="F306" s="710">
        <f>SUM(F297:F305)</f>
        <v>233187.21000000002</v>
      </c>
      <c r="G306" s="632"/>
      <c r="H306" s="642"/>
      <c r="I306" s="642"/>
      <c r="J306" s="652"/>
      <c r="K306" s="636"/>
      <c r="L306" s="636"/>
      <c r="M306" s="636"/>
      <c r="N306" s="644"/>
    </row>
    <row r="307" spans="1:14" ht="39">
      <c r="A307" s="742" t="s">
        <v>214</v>
      </c>
      <c r="B307" s="743" t="s">
        <v>650</v>
      </c>
      <c r="C307" s="744"/>
      <c r="D307" s="745"/>
      <c r="E307" s="744"/>
      <c r="F307" s="746"/>
      <c r="G307" s="632"/>
      <c r="H307" s="642"/>
      <c r="I307" s="642"/>
      <c r="J307" s="652"/>
      <c r="K307" s="636"/>
      <c r="L307" s="636"/>
      <c r="M307" s="636"/>
      <c r="N307" s="644"/>
    </row>
    <row r="308" spans="1:14">
      <c r="A308" s="716">
        <v>1</v>
      </c>
      <c r="B308" s="712" t="s">
        <v>651</v>
      </c>
      <c r="C308" s="713"/>
      <c r="D308" s="714"/>
      <c r="E308" s="713"/>
      <c r="F308" s="715"/>
      <c r="G308" s="632"/>
      <c r="H308" s="642"/>
      <c r="I308" s="642"/>
      <c r="J308" s="652"/>
      <c r="K308" s="636"/>
      <c r="L308" s="636"/>
      <c r="M308" s="636"/>
      <c r="N308" s="644"/>
    </row>
    <row r="309" spans="1:14">
      <c r="A309" s="717">
        <v>1.01</v>
      </c>
      <c r="B309" s="718" t="s">
        <v>652</v>
      </c>
      <c r="C309" s="717">
        <v>841.25</v>
      </c>
      <c r="D309" s="719" t="s">
        <v>189</v>
      </c>
      <c r="E309" s="727">
        <v>664.74</v>
      </c>
      <c r="F309" s="720">
        <v>559212.53</v>
      </c>
      <c r="G309" s="632"/>
      <c r="H309" s="642"/>
      <c r="I309" s="642"/>
      <c r="J309" s="652"/>
      <c r="K309" s="636"/>
      <c r="L309" s="636"/>
      <c r="M309" s="636"/>
      <c r="N309" s="644"/>
    </row>
    <row r="310" spans="1:14">
      <c r="A310" s="717">
        <v>1.02</v>
      </c>
      <c r="B310" s="718" t="s">
        <v>653</v>
      </c>
      <c r="C310" s="717">
        <v>142.94999999999999</v>
      </c>
      <c r="D310" s="719" t="s">
        <v>30</v>
      </c>
      <c r="E310" s="727">
        <v>156.72</v>
      </c>
      <c r="F310" s="720">
        <v>22403.119999999999</v>
      </c>
      <c r="G310" s="632"/>
      <c r="H310" s="642"/>
      <c r="I310" s="642"/>
      <c r="J310" s="652"/>
      <c r="K310" s="636"/>
      <c r="L310" s="636"/>
      <c r="M310" s="636"/>
      <c r="N310" s="644"/>
    </row>
    <row r="311" spans="1:14">
      <c r="A311" s="717">
        <v>1.03</v>
      </c>
      <c r="B311" s="718" t="s">
        <v>654</v>
      </c>
      <c r="C311" s="717">
        <v>841.25</v>
      </c>
      <c r="D311" s="719" t="s">
        <v>189</v>
      </c>
      <c r="E311" s="727">
        <v>599.63</v>
      </c>
      <c r="F311" s="720">
        <v>504435.79</v>
      </c>
      <c r="G311" s="632"/>
      <c r="H311" s="642"/>
      <c r="I311" s="642"/>
      <c r="J311" s="652"/>
      <c r="K311" s="636"/>
      <c r="L311" s="636"/>
      <c r="M311" s="636"/>
      <c r="N311" s="644"/>
    </row>
    <row r="312" spans="1:14">
      <c r="A312" s="714"/>
      <c r="B312" s="721" t="s">
        <v>44</v>
      </c>
      <c r="C312" s="721"/>
      <c r="D312" s="722"/>
      <c r="E312" s="721"/>
      <c r="F312" s="723">
        <f>SUM(F309:F311)</f>
        <v>1086051.44</v>
      </c>
      <c r="G312" s="632"/>
      <c r="H312" s="642"/>
      <c r="I312" s="642"/>
      <c r="J312" s="652"/>
      <c r="K312" s="636"/>
      <c r="L312" s="636"/>
      <c r="M312" s="636"/>
      <c r="N312" s="644"/>
    </row>
    <row r="313" spans="1:14">
      <c r="A313" s="716">
        <v>2</v>
      </c>
      <c r="B313" s="712" t="s">
        <v>276</v>
      </c>
      <c r="C313" s="713"/>
      <c r="D313" s="714"/>
      <c r="E313" s="713"/>
      <c r="F313" s="715"/>
      <c r="G313" s="632"/>
      <c r="H313" s="642"/>
      <c r="I313" s="642"/>
      <c r="J313" s="652"/>
      <c r="K313" s="636"/>
      <c r="L313" s="636"/>
      <c r="M313" s="636"/>
      <c r="N313" s="644"/>
    </row>
    <row r="314" spans="1:14">
      <c r="A314" s="717">
        <v>2.0099999999999998</v>
      </c>
      <c r="B314" s="718" t="s">
        <v>655</v>
      </c>
      <c r="C314" s="725">
        <v>1658.4</v>
      </c>
      <c r="D314" s="719" t="s">
        <v>189</v>
      </c>
      <c r="E314" s="727">
        <v>300.42</v>
      </c>
      <c r="F314" s="720">
        <v>498216.53</v>
      </c>
      <c r="G314" s="632"/>
      <c r="H314" s="642"/>
      <c r="I314" s="642"/>
      <c r="J314" s="652"/>
      <c r="K314" s="636"/>
      <c r="L314" s="636"/>
      <c r="M314" s="636"/>
      <c r="N314" s="644"/>
    </row>
    <row r="315" spans="1:14">
      <c r="A315" s="714"/>
      <c r="B315" s="721" t="s">
        <v>44</v>
      </c>
      <c r="C315" s="721"/>
      <c r="D315" s="722"/>
      <c r="E315" s="721"/>
      <c r="F315" s="723">
        <f>F314</f>
        <v>498216.53</v>
      </c>
      <c r="G315" s="632"/>
      <c r="H315" s="642"/>
      <c r="I315" s="642"/>
      <c r="J315" s="652"/>
      <c r="K315" s="636"/>
      <c r="L315" s="636"/>
      <c r="M315" s="636"/>
      <c r="N315" s="644"/>
    </row>
    <row r="316" spans="1:14">
      <c r="A316" s="716">
        <v>3</v>
      </c>
      <c r="B316" s="712" t="s">
        <v>656</v>
      </c>
      <c r="C316" s="713"/>
      <c r="D316" s="714"/>
      <c r="E316" s="713"/>
      <c r="F316" s="715"/>
      <c r="G316" s="632"/>
      <c r="H316" s="642"/>
      <c r="I316" s="642"/>
      <c r="J316" s="652"/>
      <c r="K316" s="636"/>
      <c r="L316" s="636"/>
      <c r="M316" s="636"/>
      <c r="N316" s="644"/>
    </row>
    <row r="317" spans="1:14">
      <c r="A317" s="717">
        <v>3.01</v>
      </c>
      <c r="B317" s="718" t="s">
        <v>657</v>
      </c>
      <c r="C317" s="717">
        <v>1</v>
      </c>
      <c r="D317" s="719" t="s">
        <v>88</v>
      </c>
      <c r="E317" s="720">
        <v>150000</v>
      </c>
      <c r="F317" s="720">
        <v>150000</v>
      </c>
      <c r="G317" s="632">
        <v>1</v>
      </c>
      <c r="H317" s="642"/>
      <c r="I317" s="642"/>
      <c r="J317" s="643">
        <f t="shared" ref="J317:J318" si="133">I317/C317</f>
        <v>0</v>
      </c>
      <c r="K317" s="636">
        <v>150000</v>
      </c>
      <c r="L317" s="636">
        <f>+H317*E317</f>
        <v>0</v>
      </c>
      <c r="M317" s="636">
        <f>K317+L317</f>
        <v>150000</v>
      </c>
      <c r="N317" s="644"/>
    </row>
    <row r="318" spans="1:14">
      <c r="A318" s="717">
        <v>3.02</v>
      </c>
      <c r="B318" s="718" t="s">
        <v>658</v>
      </c>
      <c r="C318" s="717">
        <v>1</v>
      </c>
      <c r="D318" s="719" t="s">
        <v>88</v>
      </c>
      <c r="E318" s="720">
        <v>150000</v>
      </c>
      <c r="F318" s="720">
        <v>150000</v>
      </c>
      <c r="G318" s="632">
        <v>1</v>
      </c>
      <c r="H318" s="642"/>
      <c r="I318" s="642"/>
      <c r="J318" s="643">
        <f t="shared" si="133"/>
        <v>0</v>
      </c>
      <c r="K318" s="636">
        <v>150000</v>
      </c>
      <c r="L318" s="636">
        <f>+H318*E318</f>
        <v>0</v>
      </c>
      <c r="M318" s="636">
        <f>K318+L318</f>
        <v>150000</v>
      </c>
      <c r="N318" s="644"/>
    </row>
    <row r="319" spans="1:14">
      <c r="A319" s="717">
        <v>3.03</v>
      </c>
      <c r="B319" s="718" t="s">
        <v>659</v>
      </c>
      <c r="C319" s="717">
        <v>1</v>
      </c>
      <c r="D319" s="719" t="s">
        <v>88</v>
      </c>
      <c r="E319" s="720">
        <v>150000</v>
      </c>
      <c r="F319" s="720">
        <v>150000</v>
      </c>
      <c r="G319" s="632"/>
      <c r="H319" s="642"/>
      <c r="I319" s="642"/>
      <c r="J319" s="652"/>
      <c r="K319" s="657"/>
      <c r="L319" s="657"/>
      <c r="M319" s="657"/>
      <c r="N319" s="644"/>
    </row>
    <row r="320" spans="1:14">
      <c r="A320" s="714"/>
      <c r="B320" s="721" t="s">
        <v>44</v>
      </c>
      <c r="C320" s="721"/>
      <c r="D320" s="722"/>
      <c r="E320" s="721"/>
      <c r="F320" s="723">
        <f>SUM(F317:F319)</f>
        <v>450000</v>
      </c>
      <c r="G320" s="632"/>
      <c r="H320" s="642"/>
      <c r="I320" s="642"/>
      <c r="J320" s="652"/>
      <c r="K320" s="657">
        <f t="shared" ref="K320:M320" si="134">+SUBTOTAL(9,K315:K319)</f>
        <v>300000</v>
      </c>
      <c r="L320" s="657">
        <f t="shared" si="134"/>
        <v>0</v>
      </c>
      <c r="M320" s="657">
        <f t="shared" si="134"/>
        <v>300000</v>
      </c>
      <c r="N320" s="644"/>
    </row>
    <row r="321" spans="1:14">
      <c r="A321" s="716">
        <v>4</v>
      </c>
      <c r="B321" s="712" t="s">
        <v>229</v>
      </c>
      <c r="C321" s="713"/>
      <c r="D321" s="714"/>
      <c r="E321" s="713"/>
      <c r="F321" s="715"/>
      <c r="G321" s="632"/>
      <c r="H321" s="642"/>
      <c r="I321" s="642"/>
      <c r="J321" s="652"/>
      <c r="K321" s="636"/>
      <c r="L321" s="636"/>
      <c r="M321" s="636"/>
      <c r="N321" s="644"/>
    </row>
    <row r="322" spans="1:14">
      <c r="A322" s="717">
        <v>4.01</v>
      </c>
      <c r="B322" s="718" t="s">
        <v>660</v>
      </c>
      <c r="C322" s="717">
        <v>2</v>
      </c>
      <c r="D322" s="719" t="s">
        <v>32</v>
      </c>
      <c r="E322" s="720">
        <v>1852500</v>
      </c>
      <c r="F322" s="720">
        <v>3705000</v>
      </c>
      <c r="G322" s="632"/>
      <c r="H322" s="642"/>
      <c r="I322" s="642"/>
      <c r="J322" s="652"/>
      <c r="K322" s="636"/>
      <c r="L322" s="636"/>
      <c r="M322" s="636"/>
      <c r="N322" s="644"/>
    </row>
    <row r="323" spans="1:14">
      <c r="A323" s="717">
        <v>4.0199999999999996</v>
      </c>
      <c r="B323" s="718" t="s">
        <v>661</v>
      </c>
      <c r="C323" s="717">
        <v>1</v>
      </c>
      <c r="D323" s="719" t="s">
        <v>88</v>
      </c>
      <c r="E323" s="720">
        <v>221000</v>
      </c>
      <c r="F323" s="720">
        <v>221000</v>
      </c>
      <c r="G323" s="632"/>
      <c r="H323" s="642"/>
      <c r="I323" s="642"/>
      <c r="J323" s="652"/>
      <c r="K323" s="636"/>
      <c r="L323" s="636"/>
      <c r="M323" s="636"/>
      <c r="N323" s="644"/>
    </row>
    <row r="324" spans="1:14" ht="38.25">
      <c r="A324" s="747">
        <v>4.03</v>
      </c>
      <c r="B324" s="730" t="s">
        <v>662</v>
      </c>
      <c r="C324" s="729">
        <v>1</v>
      </c>
      <c r="D324" s="731" t="s">
        <v>88</v>
      </c>
      <c r="E324" s="748">
        <v>500000</v>
      </c>
      <c r="F324" s="748">
        <v>500000</v>
      </c>
      <c r="G324" s="749"/>
      <c r="H324" s="750"/>
      <c r="I324" s="750"/>
      <c r="J324" s="751"/>
      <c r="K324" s="752"/>
      <c r="L324" s="752"/>
      <c r="M324" s="752"/>
      <c r="N324" s="644"/>
    </row>
    <row r="325" spans="1:14">
      <c r="A325" s="753"/>
      <c r="B325" s="706" t="s">
        <v>663</v>
      </c>
      <c r="C325" s="707"/>
      <c r="D325" s="708"/>
      <c r="E325" s="754"/>
      <c r="F325" s="755">
        <f>SUM(F322:F324)</f>
        <v>4426000</v>
      </c>
      <c r="G325" s="632"/>
      <c r="H325" s="642"/>
      <c r="I325" s="642"/>
      <c r="J325" s="652"/>
      <c r="K325" s="636"/>
      <c r="L325" s="636"/>
      <c r="M325" s="636"/>
      <c r="N325" s="644"/>
    </row>
    <row r="326" spans="1:14">
      <c r="A326" s="756"/>
      <c r="B326" s="757" t="s">
        <v>664</v>
      </c>
      <c r="C326" s="758"/>
      <c r="D326" s="756"/>
      <c r="E326" s="758"/>
      <c r="F326" s="759">
        <f>F325+F320+F315+F312+F306+F295+F280+F277+F273+F270+F265+F260+F252+F247+F244+F236+F225+F210+F207+F203+F200+F195+F190+F182+F174++F177+F166+F155+F140+F137+F133+F130+F125+F120+F112+F107+F104+F96+F85+F69+F66+F62+F54+F59+F41+F49+F36+F33+F23+F20+F15</f>
        <v>49164258.933200009</v>
      </c>
      <c r="G326" s="758"/>
      <c r="H326" s="758"/>
      <c r="I326" s="758"/>
      <c r="J326" s="758"/>
      <c r="K326" s="760">
        <f>K320+K244+K225+K195+K190+K182+K177+K174+K166+K155+K107+K112+K104+K96+K85+K59+K54+K49+K41+K36+K33+K23+K20+K15+K236</f>
        <v>26128513.788299993</v>
      </c>
      <c r="L326" s="760">
        <f>+SUBTOTAL(9,L10:L325)</f>
        <v>0</v>
      </c>
      <c r="M326" s="760">
        <f>K326+L326</f>
        <v>26128513.788299993</v>
      </c>
      <c r="N326" s="644"/>
    </row>
    <row r="327" spans="1:14">
      <c r="A327" s="761"/>
      <c r="B327" s="563"/>
      <c r="C327" s="416"/>
      <c r="D327" s="761"/>
      <c r="E327" s="416"/>
      <c r="F327" s="762"/>
      <c r="G327" s="416"/>
      <c r="H327" s="416"/>
      <c r="I327" s="416"/>
      <c r="J327" s="416"/>
      <c r="K327" s="416"/>
      <c r="L327" s="416"/>
      <c r="M327" s="416"/>
    </row>
    <row r="328" spans="1:14" ht="22.5">
      <c r="A328" s="1122" t="s">
        <v>665</v>
      </c>
      <c r="B328" s="1122"/>
      <c r="C328" s="1122"/>
      <c r="D328" s="1122"/>
      <c r="E328" s="1122"/>
      <c r="F328" s="1122"/>
      <c r="G328" s="1122"/>
      <c r="H328" s="1122"/>
      <c r="I328" s="1122"/>
      <c r="J328" s="1122"/>
      <c r="K328" s="1122"/>
      <c r="L328" s="1122"/>
      <c r="M328" s="1122"/>
    </row>
    <row r="329" spans="1:14" ht="17.45" customHeight="1">
      <c r="A329" s="1123" t="s">
        <v>666</v>
      </c>
      <c r="B329" s="1123"/>
      <c r="C329" s="1123"/>
      <c r="D329" s="1123"/>
      <c r="E329" s="1123"/>
      <c r="F329" s="1123"/>
      <c r="G329" s="1123"/>
      <c r="H329" s="1123"/>
      <c r="I329" s="1123"/>
      <c r="J329" s="1123"/>
      <c r="K329" s="1123"/>
      <c r="L329" s="1123"/>
      <c r="M329" s="1123"/>
    </row>
    <row r="330" spans="1:14">
      <c r="A330" s="761"/>
      <c r="B330" s="563"/>
      <c r="C330" s="416"/>
      <c r="D330" s="761"/>
      <c r="E330" s="416"/>
      <c r="F330" s="762"/>
      <c r="G330" s="416"/>
      <c r="H330" s="416"/>
      <c r="I330" s="416"/>
      <c r="J330" s="416"/>
      <c r="K330" s="416"/>
      <c r="L330" s="416"/>
      <c r="M330" s="416"/>
    </row>
    <row r="331" spans="1:14">
      <c r="A331" s="1117" t="s">
        <v>13</v>
      </c>
      <c r="B331" s="1117"/>
      <c r="C331" s="1117"/>
      <c r="D331" s="1117"/>
      <c r="E331" s="1117"/>
      <c r="F331" s="1117"/>
      <c r="G331" s="1118" t="s">
        <v>14</v>
      </c>
      <c r="H331" s="1118"/>
      <c r="I331" s="1118"/>
      <c r="J331" s="1118"/>
      <c r="K331" s="1119" t="s">
        <v>15</v>
      </c>
      <c r="L331" s="1119"/>
      <c r="M331" s="1119"/>
    </row>
    <row r="332" spans="1:14">
      <c r="A332" s="763" t="s">
        <v>16</v>
      </c>
      <c r="B332" s="764" t="s">
        <v>17</v>
      </c>
      <c r="C332" s="764" t="s">
        <v>19</v>
      </c>
      <c r="D332" s="764" t="s">
        <v>18</v>
      </c>
      <c r="E332" s="765" t="s">
        <v>20</v>
      </c>
      <c r="F332" s="765" t="s">
        <v>21</v>
      </c>
      <c r="G332" s="766" t="s">
        <v>22</v>
      </c>
      <c r="H332" s="766" t="s">
        <v>23</v>
      </c>
      <c r="I332" s="767" t="s">
        <v>24</v>
      </c>
      <c r="J332" s="768" t="s">
        <v>25</v>
      </c>
      <c r="K332" s="769" t="s">
        <v>22</v>
      </c>
      <c r="L332" s="770" t="s">
        <v>23</v>
      </c>
      <c r="M332" s="770" t="s">
        <v>24</v>
      </c>
    </row>
    <row r="333" spans="1:14">
      <c r="A333" s="628">
        <v>1</v>
      </c>
      <c r="B333" s="301" t="s">
        <v>574</v>
      </c>
      <c r="C333" s="315"/>
      <c r="D333" s="629"/>
      <c r="E333" s="630"/>
      <c r="F333" s="631"/>
      <c r="G333" s="632"/>
      <c r="H333" s="632"/>
      <c r="I333" s="633"/>
      <c r="J333" s="634"/>
      <c r="K333" s="635"/>
      <c r="L333" s="636"/>
      <c r="M333" s="636"/>
    </row>
    <row r="334" spans="1:14">
      <c r="A334" s="637">
        <v>1.01</v>
      </c>
      <c r="B334" s="315" t="s">
        <v>575</v>
      </c>
      <c r="C334" s="638">
        <v>4468</v>
      </c>
      <c r="D334" s="639" t="s">
        <v>189</v>
      </c>
      <c r="E334" s="655">
        <v>40.056650000000005</v>
      </c>
      <c r="F334" s="641">
        <f>+E334*C334</f>
        <v>178973.11220000003</v>
      </c>
      <c r="G334" s="632"/>
      <c r="H334" s="632">
        <f>+C334</f>
        <v>4468</v>
      </c>
      <c r="I334" s="642">
        <f>+H334+G334</f>
        <v>4468</v>
      </c>
      <c r="J334" s="643">
        <f>I334/C334</f>
        <v>1</v>
      </c>
      <c r="K334" s="636">
        <f>+G334*C334</f>
        <v>0</v>
      </c>
      <c r="L334" s="636">
        <f>+E334*H334</f>
        <v>178973.11220000003</v>
      </c>
      <c r="M334" s="636">
        <f>K334+L334</f>
        <v>178973.11220000003</v>
      </c>
    </row>
    <row r="335" spans="1:14">
      <c r="A335" s="637">
        <v>1.02</v>
      </c>
      <c r="B335" s="315" t="s">
        <v>576</v>
      </c>
      <c r="C335" s="645">
        <v>849.04499999999996</v>
      </c>
      <c r="D335" s="639" t="s">
        <v>189</v>
      </c>
      <c r="E335" s="655">
        <v>18.712399999999967</v>
      </c>
      <c r="F335" s="641">
        <f t="shared" ref="F335:F337" si="135">+E335*C335</f>
        <v>15887.669657999972</v>
      </c>
      <c r="G335" s="632"/>
      <c r="H335" s="632">
        <f t="shared" ref="H335:H352" si="136">+C335</f>
        <v>849.04499999999996</v>
      </c>
      <c r="I335" s="642">
        <f t="shared" ref="I335:I352" si="137">+H335+G335</f>
        <v>849.04499999999996</v>
      </c>
      <c r="J335" s="643">
        <f>I335/C335</f>
        <v>1</v>
      </c>
      <c r="K335" s="636">
        <f t="shared" ref="K335:K337" si="138">+G335*C335</f>
        <v>0</v>
      </c>
      <c r="L335" s="636">
        <f t="shared" ref="L335:L337" si="139">+E335*H335</f>
        <v>15887.669657999972</v>
      </c>
      <c r="M335" s="636">
        <f t="shared" ref="M335:M337" si="140">K335+L335</f>
        <v>15887.669657999972</v>
      </c>
    </row>
    <row r="336" spans="1:14">
      <c r="A336" s="637">
        <v>1.03</v>
      </c>
      <c r="B336" s="315" t="s">
        <v>667</v>
      </c>
      <c r="C336" s="645">
        <v>849.04499999999996</v>
      </c>
      <c r="D336" s="639" t="s">
        <v>189</v>
      </c>
      <c r="E336" s="655">
        <v>29.340239999999994</v>
      </c>
      <c r="F336" s="641">
        <f t="shared" si="135"/>
        <v>24911.184070799995</v>
      </c>
      <c r="G336" s="632"/>
      <c r="H336" s="632">
        <f t="shared" si="136"/>
        <v>849.04499999999996</v>
      </c>
      <c r="I336" s="642">
        <f t="shared" si="137"/>
        <v>849.04499999999996</v>
      </c>
      <c r="J336" s="643">
        <f t="shared" ref="J336:J337" si="141">I336/C336</f>
        <v>1</v>
      </c>
      <c r="K336" s="636">
        <f t="shared" si="138"/>
        <v>0</v>
      </c>
      <c r="L336" s="636">
        <f t="shared" si="139"/>
        <v>24911.184070799995</v>
      </c>
      <c r="M336" s="636">
        <f t="shared" si="140"/>
        <v>24911.184070799995</v>
      </c>
    </row>
    <row r="337" spans="1:13">
      <c r="A337" s="637">
        <v>1.04</v>
      </c>
      <c r="B337" s="315" t="s">
        <v>578</v>
      </c>
      <c r="C337" s="645">
        <v>89.4</v>
      </c>
      <c r="D337" s="639" t="s">
        <v>30</v>
      </c>
      <c r="E337" s="669">
        <v>464.3965206441319</v>
      </c>
      <c r="F337" s="641">
        <f t="shared" si="135"/>
        <v>41517.048945585397</v>
      </c>
      <c r="G337" s="632"/>
      <c r="H337" s="632">
        <f t="shared" si="136"/>
        <v>89.4</v>
      </c>
      <c r="I337" s="642">
        <f t="shared" si="137"/>
        <v>89.4</v>
      </c>
      <c r="J337" s="643">
        <f t="shared" si="141"/>
        <v>1</v>
      </c>
      <c r="K337" s="636">
        <f t="shared" si="138"/>
        <v>0</v>
      </c>
      <c r="L337" s="636">
        <f t="shared" si="139"/>
        <v>41517.048945585397</v>
      </c>
      <c r="M337" s="636">
        <f t="shared" si="140"/>
        <v>41517.048945585397</v>
      </c>
    </row>
    <row r="338" spans="1:13">
      <c r="A338" s="647"/>
      <c r="B338" s="301"/>
      <c r="C338" s="648"/>
      <c r="D338" s="649"/>
      <c r="E338" s="650"/>
      <c r="F338" s="771">
        <f t="shared" ref="F338" si="142">SUBTOTAL(9,F334:F337)</f>
        <v>261289.01487438538</v>
      </c>
      <c r="G338" s="632"/>
      <c r="H338" s="632"/>
      <c r="I338" s="642"/>
      <c r="J338" s="652"/>
      <c r="K338" s="653">
        <f t="shared" ref="K338:M338" si="143">SUBTOTAL(9,K334:K337)</f>
        <v>0</v>
      </c>
      <c r="L338" s="653">
        <f t="shared" si="143"/>
        <v>261289.01487438538</v>
      </c>
      <c r="M338" s="653">
        <f t="shared" si="143"/>
        <v>261289.01487438538</v>
      </c>
    </row>
    <row r="339" spans="1:13">
      <c r="A339" s="628">
        <v>2</v>
      </c>
      <c r="B339" s="301" t="s">
        <v>579</v>
      </c>
      <c r="C339" s="629"/>
      <c r="D339" s="639"/>
      <c r="E339" s="630"/>
      <c r="F339" s="631"/>
      <c r="G339" s="632"/>
      <c r="H339" s="632"/>
      <c r="I339" s="642"/>
      <c r="J339" s="652"/>
      <c r="K339" s="636"/>
      <c r="L339" s="636"/>
      <c r="M339" s="636"/>
    </row>
    <row r="340" spans="1:13" ht="26.25">
      <c r="A340" s="654">
        <v>2.0099999999999998</v>
      </c>
      <c r="B340" s="315" t="s">
        <v>580</v>
      </c>
      <c r="C340" s="645">
        <v>94.112000000000009</v>
      </c>
      <c r="D340" s="639" t="s">
        <v>38</v>
      </c>
      <c r="E340" s="655">
        <v>344.52428571428567</v>
      </c>
      <c r="F340" s="641">
        <f t="shared" ref="F340:F342" si="144">+E340*C340</f>
        <v>32423.869577142857</v>
      </c>
      <c r="G340" s="632"/>
      <c r="H340" s="632">
        <f t="shared" si="136"/>
        <v>94.112000000000009</v>
      </c>
      <c r="I340" s="642">
        <f t="shared" si="137"/>
        <v>94.112000000000009</v>
      </c>
      <c r="J340" s="643">
        <f t="shared" ref="J340:J342" si="145">I340/C340</f>
        <v>1</v>
      </c>
      <c r="K340" s="636">
        <f t="shared" ref="K340:K342" si="146">+G340*C340</f>
        <v>0</v>
      </c>
      <c r="L340" s="636">
        <f>+H340*E340</f>
        <v>32423.869577142857</v>
      </c>
      <c r="M340" s="636">
        <f>K340+L340</f>
        <v>32423.869577142857</v>
      </c>
    </row>
    <row r="341" spans="1:13">
      <c r="A341" s="654">
        <v>2.02</v>
      </c>
      <c r="B341" s="315" t="s">
        <v>581</v>
      </c>
      <c r="C341" s="645">
        <v>122.34560000000002</v>
      </c>
      <c r="D341" s="639" t="s">
        <v>582</v>
      </c>
      <c r="E341" s="655">
        <v>344.65000000000009</v>
      </c>
      <c r="F341" s="641">
        <f t="shared" si="144"/>
        <v>42166.411040000021</v>
      </c>
      <c r="G341" s="632"/>
      <c r="H341" s="632">
        <f t="shared" si="136"/>
        <v>122.34560000000002</v>
      </c>
      <c r="I341" s="642">
        <f t="shared" si="137"/>
        <v>122.34560000000002</v>
      </c>
      <c r="J341" s="643">
        <f t="shared" si="145"/>
        <v>1</v>
      </c>
      <c r="K341" s="636">
        <f t="shared" si="146"/>
        <v>0</v>
      </c>
      <c r="L341" s="636">
        <f t="shared" ref="L341:L342" si="147">+H341*E341</f>
        <v>42166.411040000021</v>
      </c>
      <c r="M341" s="636">
        <f>K341+L341</f>
        <v>42166.411040000021</v>
      </c>
    </row>
    <row r="342" spans="1:13">
      <c r="A342" s="637">
        <v>2.0299999999999998</v>
      </c>
      <c r="B342" s="310" t="s">
        <v>583</v>
      </c>
      <c r="C342" s="645">
        <v>47.802300000000002</v>
      </c>
      <c r="D342" s="639" t="s">
        <v>584</v>
      </c>
      <c r="E342" s="655">
        <v>2630.8500000000004</v>
      </c>
      <c r="F342" s="641">
        <f t="shared" si="144"/>
        <v>125760.68095500002</v>
      </c>
      <c r="G342" s="632"/>
      <c r="H342" s="632">
        <f t="shared" si="136"/>
        <v>47.802300000000002</v>
      </c>
      <c r="I342" s="642">
        <f t="shared" si="137"/>
        <v>47.802300000000002</v>
      </c>
      <c r="J342" s="643">
        <f t="shared" si="145"/>
        <v>1</v>
      </c>
      <c r="K342" s="636">
        <f t="shared" si="146"/>
        <v>0</v>
      </c>
      <c r="L342" s="636">
        <f t="shared" si="147"/>
        <v>125760.68095500002</v>
      </c>
      <c r="M342" s="636">
        <f>K342+L342</f>
        <v>125760.68095500002</v>
      </c>
    </row>
    <row r="343" spans="1:13">
      <c r="A343" s="656"/>
      <c r="B343" s="301"/>
      <c r="C343" s="649"/>
      <c r="D343" s="649"/>
      <c r="E343" s="650"/>
      <c r="F343" s="772">
        <f t="shared" ref="F343" si="148">+SUBTOTAL(9,F340:F342)</f>
        <v>200350.9615721429</v>
      </c>
      <c r="G343" s="632"/>
      <c r="H343" s="632"/>
      <c r="I343" s="642"/>
      <c r="J343" s="652"/>
      <c r="K343" s="657">
        <f t="shared" ref="K343:M343" si="149">+SUBTOTAL(9,K340:K342)</f>
        <v>0</v>
      </c>
      <c r="L343" s="657">
        <f t="shared" si="149"/>
        <v>200350.9615721429</v>
      </c>
      <c r="M343" s="657">
        <f t="shared" si="149"/>
        <v>200350.9615721429</v>
      </c>
    </row>
    <row r="344" spans="1:13">
      <c r="A344" s="628">
        <v>3</v>
      </c>
      <c r="B344" s="306" t="s">
        <v>585</v>
      </c>
      <c r="C344" s="629"/>
      <c r="D344" s="639"/>
      <c r="E344" s="630"/>
      <c r="F344" s="631"/>
      <c r="G344" s="632"/>
      <c r="H344" s="632"/>
      <c r="I344" s="642"/>
      <c r="J344" s="652"/>
      <c r="K344" s="658"/>
      <c r="L344" s="636"/>
      <c r="M344" s="636"/>
    </row>
    <row r="345" spans="1:13">
      <c r="A345" s="637">
        <v>3.01</v>
      </c>
      <c r="B345" s="659" t="s">
        <v>586</v>
      </c>
      <c r="C345" s="660">
        <v>11.356000000000002</v>
      </c>
      <c r="D345" s="661" t="s">
        <v>38</v>
      </c>
      <c r="E345" s="662">
        <v>4359.4699999999993</v>
      </c>
      <c r="F345" s="641">
        <f t="shared" ref="F345" si="150">+E345*C345</f>
        <v>49506.141320000002</v>
      </c>
      <c r="G345" s="632"/>
      <c r="H345" s="632">
        <f t="shared" si="136"/>
        <v>11.356000000000002</v>
      </c>
      <c r="I345" s="642">
        <f t="shared" si="137"/>
        <v>11.356000000000002</v>
      </c>
      <c r="J345" s="643">
        <f>I345/C345</f>
        <v>1</v>
      </c>
      <c r="K345" s="636">
        <f t="shared" ref="K345" si="151">+G345*C345</f>
        <v>0</v>
      </c>
      <c r="L345" s="636">
        <f>+H345*E345</f>
        <v>49506.141320000002</v>
      </c>
      <c r="M345" s="636">
        <f t="shared" ref="M345" si="152">K345+L345</f>
        <v>49506.141320000002</v>
      </c>
    </row>
    <row r="346" spans="1:13">
      <c r="A346" s="637"/>
      <c r="B346" s="663"/>
      <c r="C346" s="664"/>
      <c r="D346" s="665"/>
      <c r="E346" s="666"/>
      <c r="F346" s="772">
        <f>+SUBTOTAL(9,F345)</f>
        <v>49506.141320000002</v>
      </c>
      <c r="G346" s="632"/>
      <c r="H346" s="632"/>
      <c r="I346" s="642"/>
      <c r="J346" s="652"/>
      <c r="K346" s="657">
        <f>+SUBTOTAL(9,K345)</f>
        <v>0</v>
      </c>
      <c r="L346" s="657">
        <f t="shared" ref="L346:M346" si="153">+SUBTOTAL(9,L345)</f>
        <v>49506.141320000002</v>
      </c>
      <c r="M346" s="657">
        <f t="shared" si="153"/>
        <v>49506.141320000002</v>
      </c>
    </row>
    <row r="347" spans="1:13">
      <c r="A347" s="628" t="s">
        <v>185</v>
      </c>
      <c r="B347" s="663" t="s">
        <v>587</v>
      </c>
      <c r="C347" s="660"/>
      <c r="D347" s="661"/>
      <c r="E347" s="662"/>
      <c r="F347" s="668"/>
      <c r="G347" s="632"/>
      <c r="H347" s="632"/>
      <c r="I347" s="642"/>
      <c r="J347" s="652"/>
      <c r="K347" s="658"/>
      <c r="L347" s="636"/>
      <c r="M347" s="636"/>
    </row>
    <row r="348" spans="1:13">
      <c r="A348" s="628">
        <v>1</v>
      </c>
      <c r="B348" s="663" t="s">
        <v>585</v>
      </c>
      <c r="C348" s="660"/>
      <c r="D348" s="661"/>
      <c r="E348" s="662"/>
      <c r="F348" s="668"/>
      <c r="G348" s="632"/>
      <c r="H348" s="632"/>
      <c r="I348" s="642"/>
      <c r="J348" s="652"/>
      <c r="K348" s="658"/>
      <c r="L348" s="636"/>
      <c r="M348" s="636"/>
    </row>
    <row r="349" spans="1:13">
      <c r="A349" s="637">
        <v>1.01</v>
      </c>
      <c r="B349" s="659" t="s">
        <v>588</v>
      </c>
      <c r="C349" s="660">
        <v>14</v>
      </c>
      <c r="D349" s="661" t="s">
        <v>38</v>
      </c>
      <c r="E349" s="662">
        <v>18225.63</v>
      </c>
      <c r="F349" s="641">
        <f t="shared" ref="F349:F352" si="154">+E349*C349</f>
        <v>255158.82</v>
      </c>
      <c r="G349" s="632"/>
      <c r="H349" s="632">
        <f t="shared" si="136"/>
        <v>14</v>
      </c>
      <c r="I349" s="642">
        <f t="shared" si="137"/>
        <v>14</v>
      </c>
      <c r="J349" s="643">
        <f t="shared" ref="J349:J350" si="155">I349/C349</f>
        <v>1</v>
      </c>
      <c r="K349" s="636">
        <f t="shared" ref="K349:K352" si="156">+G349*C349</f>
        <v>0</v>
      </c>
      <c r="L349" s="636">
        <f>+H349*E349</f>
        <v>255158.82</v>
      </c>
      <c r="M349" s="636">
        <f t="shared" ref="M349:M352" si="157">K349+L349</f>
        <v>255158.82</v>
      </c>
    </row>
    <row r="350" spans="1:13">
      <c r="A350" s="637">
        <v>1.02</v>
      </c>
      <c r="B350" s="659" t="s">
        <v>589</v>
      </c>
      <c r="C350" s="660">
        <v>21.599999999999998</v>
      </c>
      <c r="D350" s="661" t="s">
        <v>38</v>
      </c>
      <c r="E350" s="662">
        <v>8712.8966666666602</v>
      </c>
      <c r="F350" s="641">
        <f t="shared" si="154"/>
        <v>188198.56799999985</v>
      </c>
      <c r="G350" s="632"/>
      <c r="H350" s="632">
        <f t="shared" si="136"/>
        <v>21.599999999999998</v>
      </c>
      <c r="I350" s="642">
        <f t="shared" si="137"/>
        <v>21.599999999999998</v>
      </c>
      <c r="J350" s="643">
        <f t="shared" si="155"/>
        <v>1</v>
      </c>
      <c r="K350" s="636">
        <f t="shared" si="156"/>
        <v>0</v>
      </c>
      <c r="L350" s="636">
        <f t="shared" ref="L350:L352" si="158">+H350*E350</f>
        <v>188198.56799999985</v>
      </c>
      <c r="M350" s="636">
        <f t="shared" si="157"/>
        <v>188198.56799999985</v>
      </c>
    </row>
    <row r="351" spans="1:13">
      <c r="A351" s="637">
        <v>1.03</v>
      </c>
      <c r="B351" s="659" t="s">
        <v>668</v>
      </c>
      <c r="C351" s="660">
        <v>64.516500000000008</v>
      </c>
      <c r="D351" s="661" t="s">
        <v>38</v>
      </c>
      <c r="E351" s="662">
        <v>11241.588439964966</v>
      </c>
      <c r="F351" s="641">
        <f t="shared" si="154"/>
        <v>725267.94058699976</v>
      </c>
      <c r="G351" s="632"/>
      <c r="H351" s="632">
        <f t="shared" si="136"/>
        <v>64.516500000000008</v>
      </c>
      <c r="I351" s="642">
        <f t="shared" si="137"/>
        <v>64.516500000000008</v>
      </c>
      <c r="J351" s="643">
        <f>I351/C351</f>
        <v>1</v>
      </c>
      <c r="K351" s="636">
        <f t="shared" si="156"/>
        <v>0</v>
      </c>
      <c r="L351" s="636">
        <f t="shared" si="158"/>
        <v>725267.94058699976</v>
      </c>
      <c r="M351" s="636">
        <f t="shared" si="157"/>
        <v>725267.94058699976</v>
      </c>
    </row>
    <row r="352" spans="1:13">
      <c r="A352" s="637">
        <v>1.04</v>
      </c>
      <c r="B352" s="659" t="s">
        <v>593</v>
      </c>
      <c r="C352" s="660">
        <v>191.71199999999999</v>
      </c>
      <c r="D352" s="661" t="s">
        <v>38</v>
      </c>
      <c r="E352" s="662">
        <v>4878.3133100484029</v>
      </c>
      <c r="F352" s="641">
        <f t="shared" si="154"/>
        <v>935231.20129599934</v>
      </c>
      <c r="G352" s="632"/>
      <c r="H352" s="632">
        <f t="shared" si="136"/>
        <v>191.71199999999999</v>
      </c>
      <c r="I352" s="642">
        <f t="shared" si="137"/>
        <v>191.71199999999999</v>
      </c>
      <c r="J352" s="643">
        <f>I352/C352</f>
        <v>1</v>
      </c>
      <c r="K352" s="636">
        <f t="shared" si="156"/>
        <v>0</v>
      </c>
      <c r="L352" s="636">
        <f t="shared" si="158"/>
        <v>935231.20129599934</v>
      </c>
      <c r="M352" s="636">
        <f t="shared" si="157"/>
        <v>935231.20129599934</v>
      </c>
    </row>
    <row r="353" spans="1:13">
      <c r="A353" s="637"/>
      <c r="B353" s="663" t="s">
        <v>44</v>
      </c>
      <c r="C353" s="664"/>
      <c r="D353" s="665"/>
      <c r="E353" s="666"/>
      <c r="F353" s="772">
        <f>+SUBTOTAL(9,F352)</f>
        <v>935231.20129599934</v>
      </c>
      <c r="G353" s="632"/>
      <c r="H353" s="632"/>
      <c r="I353" s="642"/>
      <c r="J353" s="652"/>
      <c r="K353" s="657">
        <f>+SUBTOTAL(9,K352)</f>
        <v>0</v>
      </c>
      <c r="L353" s="657">
        <f t="shared" ref="L353:M353" si="159">+SUBTOTAL(9,L352)</f>
        <v>935231.20129599934</v>
      </c>
      <c r="M353" s="657">
        <f t="shared" si="159"/>
        <v>935231.20129599934</v>
      </c>
    </row>
    <row r="354" spans="1:13">
      <c r="A354" s="756"/>
      <c r="B354" s="757" t="s">
        <v>664</v>
      </c>
      <c r="C354" s="758"/>
      <c r="D354" s="756"/>
      <c r="E354" s="758"/>
      <c r="F354" s="760">
        <f>+SUBTOTAL(9,F333:F353)</f>
        <v>2615002.6476495275</v>
      </c>
      <c r="G354" s="758"/>
      <c r="H354" s="758"/>
      <c r="I354" s="758"/>
      <c r="J354" s="758"/>
      <c r="K354" s="760">
        <f>+SUBTOTAL(9,K333:K353)</f>
        <v>0</v>
      </c>
      <c r="L354" s="760">
        <f t="shared" ref="L354:M354" si="160">+SUBTOTAL(9,L333:L353)</f>
        <v>2615002.6476495275</v>
      </c>
      <c r="M354" s="760">
        <f t="shared" si="160"/>
        <v>2615002.6476495275</v>
      </c>
    </row>
    <row r="355" spans="1:13">
      <c r="A355" s="761"/>
      <c r="B355" s="563"/>
      <c r="C355" s="416"/>
      <c r="D355" s="761"/>
      <c r="E355" s="416"/>
      <c r="F355" s="762"/>
      <c r="G355" s="416"/>
      <c r="H355" s="416"/>
      <c r="I355" s="416"/>
      <c r="J355" s="416"/>
      <c r="K355" s="416"/>
      <c r="L355" s="416"/>
      <c r="M355" s="416"/>
    </row>
    <row r="356" spans="1:13" ht="18.75">
      <c r="A356" s="761"/>
      <c r="B356" s="773" t="s">
        <v>669</v>
      </c>
      <c r="C356" s="416"/>
      <c r="D356" s="761"/>
      <c r="E356" s="416"/>
      <c r="F356" s="762"/>
      <c r="G356" s="416"/>
      <c r="H356" s="416"/>
      <c r="I356" s="416"/>
      <c r="J356" s="416"/>
      <c r="K356" s="416"/>
      <c r="L356" s="416"/>
      <c r="M356" s="416"/>
    </row>
    <row r="357" spans="1:13">
      <c r="A357" s="761"/>
      <c r="B357" s="563"/>
      <c r="C357" s="416"/>
      <c r="D357" s="761"/>
      <c r="E357" s="416"/>
      <c r="F357" s="762"/>
      <c r="G357" s="416"/>
      <c r="H357" s="416"/>
      <c r="I357" s="416"/>
      <c r="J357" s="416"/>
      <c r="K357" s="416"/>
      <c r="L357" s="416"/>
      <c r="M357" s="416"/>
    </row>
    <row r="358" spans="1:13">
      <c r="A358" s="1117" t="s">
        <v>13</v>
      </c>
      <c r="B358" s="1117"/>
      <c r="C358" s="1117"/>
      <c r="D358" s="1117"/>
      <c r="E358" s="1117"/>
      <c r="F358" s="1117"/>
      <c r="G358" s="1118" t="s">
        <v>14</v>
      </c>
      <c r="H358" s="1118"/>
      <c r="I358" s="1118"/>
      <c r="J358" s="1118"/>
      <c r="K358" s="1119" t="s">
        <v>15</v>
      </c>
      <c r="L358" s="1119"/>
      <c r="M358" s="1119"/>
    </row>
    <row r="359" spans="1:13">
      <c r="A359" s="619" t="s">
        <v>16</v>
      </c>
      <c r="B359" s="620" t="s">
        <v>17</v>
      </c>
      <c r="C359" s="620" t="s">
        <v>19</v>
      </c>
      <c r="D359" s="620" t="s">
        <v>18</v>
      </c>
      <c r="E359" s="621" t="s">
        <v>20</v>
      </c>
      <c r="F359" s="622" t="s">
        <v>21</v>
      </c>
      <c r="G359" s="623" t="s">
        <v>22</v>
      </c>
      <c r="H359" s="623" t="s">
        <v>23</v>
      </c>
      <c r="I359" s="624" t="s">
        <v>24</v>
      </c>
      <c r="J359" s="625" t="s">
        <v>25</v>
      </c>
      <c r="K359" s="626" t="s">
        <v>22</v>
      </c>
      <c r="L359" s="627" t="s">
        <v>23</v>
      </c>
      <c r="M359" s="627" t="s">
        <v>24</v>
      </c>
    </row>
    <row r="360" spans="1:13">
      <c r="A360" s="628">
        <v>1</v>
      </c>
      <c r="B360" s="301" t="s">
        <v>574</v>
      </c>
      <c r="C360" s="315"/>
      <c r="D360" s="629"/>
      <c r="E360" s="630"/>
      <c r="F360" s="631"/>
      <c r="G360" s="632"/>
      <c r="H360" s="632"/>
      <c r="I360" s="633"/>
      <c r="J360" s="634"/>
      <c r="K360" s="635"/>
      <c r="L360" s="636"/>
      <c r="M360" s="636"/>
    </row>
    <row r="361" spans="1:13">
      <c r="A361" s="637">
        <v>1.04</v>
      </c>
      <c r="B361" s="315" t="s">
        <v>578</v>
      </c>
      <c r="C361" s="638">
        <v>44.599999999999994</v>
      </c>
      <c r="D361" s="639" t="s">
        <v>30</v>
      </c>
      <c r="E361" s="655">
        <v>464.6793464788737</v>
      </c>
      <c r="F361" s="641">
        <f>+E361*C361</f>
        <v>20724.698852957765</v>
      </c>
      <c r="G361" s="632"/>
      <c r="H361" s="632">
        <f>+C361</f>
        <v>44.599999999999994</v>
      </c>
      <c r="I361" s="642">
        <f>+H361+G361</f>
        <v>44.599999999999994</v>
      </c>
      <c r="J361" s="643">
        <f>I361/C361</f>
        <v>1</v>
      </c>
      <c r="K361" s="636"/>
      <c r="L361" s="636">
        <f>+H361*E361</f>
        <v>20724.698852957765</v>
      </c>
      <c r="M361" s="636">
        <f>K361+L361</f>
        <v>20724.698852957765</v>
      </c>
    </row>
    <row r="362" spans="1:13">
      <c r="A362" s="637"/>
      <c r="B362" s="315"/>
      <c r="C362" s="645"/>
      <c r="D362" s="639"/>
      <c r="E362" s="655"/>
      <c r="F362" s="772">
        <f>+SUBTOTAL(9,F361)</f>
        <v>20724.698852957765</v>
      </c>
      <c r="G362" s="632"/>
      <c r="H362" s="632"/>
      <c r="I362" s="642"/>
      <c r="J362" s="652"/>
      <c r="K362" s="657">
        <f>+SUBTOTAL(9,K361)</f>
        <v>0</v>
      </c>
      <c r="L362" s="657">
        <f t="shared" ref="L362:M362" si="161">+SUBTOTAL(9,L361)</f>
        <v>20724.698852957765</v>
      </c>
      <c r="M362" s="657">
        <f t="shared" si="161"/>
        <v>20724.698852957765</v>
      </c>
    </row>
    <row r="363" spans="1:13">
      <c r="A363" s="628" t="s">
        <v>185</v>
      </c>
      <c r="B363" s="301" t="s">
        <v>587</v>
      </c>
      <c r="C363" s="315"/>
      <c r="D363" s="629"/>
      <c r="E363" s="630"/>
      <c r="F363" s="631"/>
      <c r="G363" s="632"/>
      <c r="H363" s="632"/>
      <c r="I363" s="642"/>
      <c r="J363" s="643"/>
      <c r="K363" s="635"/>
      <c r="L363" s="636"/>
      <c r="M363" s="636"/>
    </row>
    <row r="364" spans="1:13">
      <c r="A364" s="637">
        <v>1</v>
      </c>
      <c r="B364" s="315" t="s">
        <v>585</v>
      </c>
      <c r="C364" s="645"/>
      <c r="D364" s="639"/>
      <c r="E364" s="669"/>
      <c r="F364" s="641"/>
      <c r="G364" s="632"/>
      <c r="H364" s="632"/>
      <c r="I364" s="642"/>
      <c r="J364" s="643"/>
      <c r="K364" s="636"/>
      <c r="L364" s="636"/>
      <c r="M364" s="636"/>
    </row>
    <row r="365" spans="1:13">
      <c r="A365" s="637">
        <v>1.01</v>
      </c>
      <c r="B365" s="315" t="s">
        <v>588</v>
      </c>
      <c r="C365" s="638">
        <v>9.3299999999999983</v>
      </c>
      <c r="D365" s="639" t="s">
        <v>38</v>
      </c>
      <c r="E365" s="655">
        <v>18225.630000000005</v>
      </c>
      <c r="F365" s="641">
        <f>+E365*C365</f>
        <v>170045.12790000002</v>
      </c>
      <c r="G365" s="632"/>
      <c r="H365" s="632">
        <f t="shared" ref="H365:H421" si="162">+C365</f>
        <v>9.3299999999999983</v>
      </c>
      <c r="I365" s="642">
        <f t="shared" ref="I365:I421" si="163">+H365+G365</f>
        <v>9.3299999999999983</v>
      </c>
      <c r="J365" s="643">
        <f t="shared" ref="J365:J421" si="164">I365/C365</f>
        <v>1</v>
      </c>
      <c r="K365" s="636"/>
      <c r="L365" s="636">
        <f t="shared" ref="L365:L421" si="165">+H365*E365</f>
        <v>170045.12790000002</v>
      </c>
      <c r="M365" s="636">
        <f>K365+L365</f>
        <v>170045.12790000002</v>
      </c>
    </row>
    <row r="366" spans="1:13">
      <c r="A366" s="637">
        <v>1.02</v>
      </c>
      <c r="B366" s="315" t="s">
        <v>589</v>
      </c>
      <c r="C366" s="638">
        <v>14.400000000000002</v>
      </c>
      <c r="D366" s="639" t="s">
        <v>38</v>
      </c>
      <c r="E366" s="655">
        <v>8712.8966666666693</v>
      </c>
      <c r="F366" s="641">
        <f t="shared" ref="F366:F370" si="166">+E366*C366</f>
        <v>125465.71200000006</v>
      </c>
      <c r="G366" s="632"/>
      <c r="H366" s="632">
        <f t="shared" si="162"/>
        <v>14.400000000000002</v>
      </c>
      <c r="I366" s="642">
        <f t="shared" si="163"/>
        <v>14.400000000000002</v>
      </c>
      <c r="J366" s="643">
        <f t="shared" si="164"/>
        <v>1</v>
      </c>
      <c r="K366" s="636"/>
      <c r="L366" s="636">
        <f t="shared" si="165"/>
        <v>125465.71200000006</v>
      </c>
      <c r="M366" s="636">
        <f t="shared" ref="M366:M421" si="167">K366+L366</f>
        <v>125465.71200000006</v>
      </c>
    </row>
    <row r="367" spans="1:13">
      <c r="A367" s="637">
        <v>1.03</v>
      </c>
      <c r="B367" s="315" t="s">
        <v>668</v>
      </c>
      <c r="C367" s="638">
        <v>43.01100000000001</v>
      </c>
      <c r="D367" s="639" t="s">
        <v>38</v>
      </c>
      <c r="E367" s="655">
        <v>11243.087811443582</v>
      </c>
      <c r="F367" s="641">
        <f t="shared" si="166"/>
        <v>483576.44985800004</v>
      </c>
      <c r="G367" s="632"/>
      <c r="H367" s="632">
        <f t="shared" si="162"/>
        <v>43.01100000000001</v>
      </c>
      <c r="I367" s="642">
        <f t="shared" si="163"/>
        <v>43.01100000000001</v>
      </c>
      <c r="J367" s="643">
        <f t="shared" si="164"/>
        <v>1</v>
      </c>
      <c r="K367" s="636"/>
      <c r="L367" s="636">
        <f t="shared" si="165"/>
        <v>483576.44985800004</v>
      </c>
      <c r="M367" s="636">
        <f t="shared" si="167"/>
        <v>483576.44985800004</v>
      </c>
    </row>
    <row r="368" spans="1:13">
      <c r="A368" s="637">
        <v>1.04</v>
      </c>
      <c r="B368" s="315" t="s">
        <v>591</v>
      </c>
      <c r="C368" s="638">
        <v>32.130000000000003</v>
      </c>
      <c r="D368" s="639" t="s">
        <v>38</v>
      </c>
      <c r="E368" s="655">
        <v>9398.980000000005</v>
      </c>
      <c r="F368" s="641">
        <f t="shared" si="166"/>
        <v>301989.22740000021</v>
      </c>
      <c r="G368" s="632"/>
      <c r="H368" s="632">
        <f t="shared" si="162"/>
        <v>32.130000000000003</v>
      </c>
      <c r="I368" s="642">
        <f t="shared" si="163"/>
        <v>32.130000000000003</v>
      </c>
      <c r="J368" s="643">
        <f t="shared" si="164"/>
        <v>1</v>
      </c>
      <c r="K368" s="636"/>
      <c r="L368" s="636">
        <f t="shared" si="165"/>
        <v>301989.22740000021</v>
      </c>
      <c r="M368" s="636">
        <f t="shared" si="167"/>
        <v>301989.22740000021</v>
      </c>
    </row>
    <row r="369" spans="1:13">
      <c r="A369" s="637">
        <v>1.05</v>
      </c>
      <c r="B369" s="315" t="s">
        <v>592</v>
      </c>
      <c r="C369" s="638">
        <v>2.3800000000000003</v>
      </c>
      <c r="D369" s="639" t="s">
        <v>38</v>
      </c>
      <c r="E369" s="655">
        <v>10807.940000000008</v>
      </c>
      <c r="F369" s="641">
        <f t="shared" si="166"/>
        <v>25722.897200000021</v>
      </c>
      <c r="G369" s="632"/>
      <c r="H369" s="632">
        <f t="shared" si="162"/>
        <v>2.3800000000000003</v>
      </c>
      <c r="I369" s="642">
        <f t="shared" si="163"/>
        <v>2.3800000000000003</v>
      </c>
      <c r="J369" s="643">
        <f t="shared" si="164"/>
        <v>1</v>
      </c>
      <c r="K369" s="636"/>
      <c r="L369" s="636">
        <f t="shared" si="165"/>
        <v>25722.897200000021</v>
      </c>
      <c r="M369" s="636">
        <f t="shared" si="167"/>
        <v>25722.897200000021</v>
      </c>
    </row>
    <row r="370" spans="1:13">
      <c r="A370" s="637">
        <v>1.07</v>
      </c>
      <c r="B370" s="315" t="s">
        <v>594</v>
      </c>
      <c r="C370" s="638">
        <v>61.160000000000004</v>
      </c>
      <c r="D370" s="639" t="s">
        <v>38</v>
      </c>
      <c r="E370" s="655">
        <v>8570.6106393268383</v>
      </c>
      <c r="F370" s="641">
        <f t="shared" si="166"/>
        <v>524178.54670122947</v>
      </c>
      <c r="G370" s="632"/>
      <c r="H370" s="632">
        <f t="shared" si="162"/>
        <v>61.160000000000004</v>
      </c>
      <c r="I370" s="642">
        <f t="shared" si="163"/>
        <v>61.160000000000004</v>
      </c>
      <c r="J370" s="643">
        <f t="shared" si="164"/>
        <v>1</v>
      </c>
      <c r="K370" s="636"/>
      <c r="L370" s="636">
        <f t="shared" si="165"/>
        <v>524178.54670122947</v>
      </c>
      <c r="M370" s="636">
        <f t="shared" si="167"/>
        <v>524178.54670122947</v>
      </c>
    </row>
    <row r="371" spans="1:13">
      <c r="A371" s="637"/>
      <c r="B371" s="315"/>
      <c r="C371" s="638"/>
      <c r="D371" s="639"/>
      <c r="E371" s="655"/>
      <c r="F371" s="772">
        <f>+SUBTOTAL(9,F365:F370)</f>
        <v>1630977.9610592297</v>
      </c>
      <c r="G371" s="632"/>
      <c r="H371" s="632"/>
      <c r="I371" s="642"/>
      <c r="J371" s="652"/>
      <c r="K371" s="657">
        <f>+SUBTOTAL(9,K365:K370)</f>
        <v>0</v>
      </c>
      <c r="L371" s="657">
        <f t="shared" ref="L371:M371" si="168">+SUBTOTAL(9,L365:L370)</f>
        <v>1630977.9610592297</v>
      </c>
      <c r="M371" s="657">
        <f t="shared" si="168"/>
        <v>1630977.9610592297</v>
      </c>
    </row>
    <row r="372" spans="1:13" s="779" customFormat="1">
      <c r="A372" s="628">
        <v>2</v>
      </c>
      <c r="B372" s="301" t="s">
        <v>595</v>
      </c>
      <c r="C372" s="774"/>
      <c r="D372" s="649"/>
      <c r="E372" s="775"/>
      <c r="F372" s="776"/>
      <c r="G372" s="777"/>
      <c r="H372" s="632"/>
      <c r="I372" s="642"/>
      <c r="J372" s="643"/>
      <c r="K372" s="778"/>
      <c r="L372" s="636"/>
      <c r="M372" s="636"/>
    </row>
    <row r="373" spans="1:13">
      <c r="A373" s="637">
        <v>2.0099999999999998</v>
      </c>
      <c r="B373" s="315" t="s">
        <v>596</v>
      </c>
      <c r="C373" s="638">
        <v>223.06</v>
      </c>
      <c r="D373" s="639" t="s">
        <v>189</v>
      </c>
      <c r="E373" s="655">
        <v>472.58</v>
      </c>
      <c r="F373" s="641">
        <f>+E373*C373</f>
        <v>105413.6948</v>
      </c>
      <c r="G373" s="632"/>
      <c r="H373" s="632">
        <f t="shared" si="162"/>
        <v>223.06</v>
      </c>
      <c r="I373" s="642">
        <f t="shared" si="163"/>
        <v>223.06</v>
      </c>
      <c r="J373" s="643">
        <f t="shared" si="164"/>
        <v>1</v>
      </c>
      <c r="K373" s="636"/>
      <c r="L373" s="636">
        <f t="shared" si="165"/>
        <v>105413.6948</v>
      </c>
      <c r="M373" s="636">
        <f t="shared" si="167"/>
        <v>105413.6948</v>
      </c>
    </row>
    <row r="374" spans="1:13">
      <c r="A374" s="637"/>
      <c r="B374" s="315"/>
      <c r="C374" s="638"/>
      <c r="D374" s="639"/>
      <c r="E374" s="655"/>
      <c r="F374" s="772">
        <f>+SUBTOTAL(9,F373)</f>
        <v>105413.6948</v>
      </c>
      <c r="G374" s="632"/>
      <c r="H374" s="632"/>
      <c r="I374" s="642"/>
      <c r="J374" s="652"/>
      <c r="K374" s="657">
        <f>+SUBTOTAL(9,K373)</f>
        <v>0</v>
      </c>
      <c r="L374" s="657">
        <f t="shared" ref="L374:M374" si="169">+SUBTOTAL(9,L373)</f>
        <v>105413.6948</v>
      </c>
      <c r="M374" s="657">
        <f t="shared" si="169"/>
        <v>105413.6948</v>
      </c>
    </row>
    <row r="375" spans="1:13" s="779" customFormat="1">
      <c r="A375" s="628">
        <v>3</v>
      </c>
      <c r="B375" s="301" t="s">
        <v>597</v>
      </c>
      <c r="C375" s="774"/>
      <c r="D375" s="649"/>
      <c r="E375" s="775"/>
      <c r="F375" s="776"/>
      <c r="G375" s="777"/>
      <c r="H375" s="632"/>
      <c r="I375" s="642"/>
      <c r="J375" s="643"/>
      <c r="K375" s="778"/>
      <c r="L375" s="636"/>
      <c r="M375" s="636"/>
    </row>
    <row r="376" spans="1:13">
      <c r="A376" s="637">
        <v>3.01</v>
      </c>
      <c r="B376" s="315" t="s">
        <v>598</v>
      </c>
      <c r="C376" s="638">
        <v>595.60799999999995</v>
      </c>
      <c r="D376" s="639" t="s">
        <v>189</v>
      </c>
      <c r="E376" s="655">
        <v>44.70000000000001</v>
      </c>
      <c r="F376" s="641">
        <f>+E376*C376</f>
        <v>26623.677600000003</v>
      </c>
      <c r="G376" s="632"/>
      <c r="H376" s="632">
        <f t="shared" si="162"/>
        <v>595.60799999999995</v>
      </c>
      <c r="I376" s="642">
        <f t="shared" si="163"/>
        <v>595.60799999999995</v>
      </c>
      <c r="J376" s="643">
        <f t="shared" si="164"/>
        <v>1</v>
      </c>
      <c r="K376" s="636"/>
      <c r="L376" s="636">
        <f t="shared" si="165"/>
        <v>26623.677600000003</v>
      </c>
      <c r="M376" s="636">
        <f t="shared" si="167"/>
        <v>26623.677600000003</v>
      </c>
    </row>
    <row r="377" spans="1:13" ht="26.25">
      <c r="A377" s="637">
        <v>3.0199999999999996</v>
      </c>
      <c r="B377" s="315" t="s">
        <v>599</v>
      </c>
      <c r="C377" s="638">
        <v>267.67199999999997</v>
      </c>
      <c r="D377" s="639" t="s">
        <v>189</v>
      </c>
      <c r="E377" s="655">
        <v>297.65000000000015</v>
      </c>
      <c r="F377" s="641">
        <f t="shared" ref="F377:F378" si="170">+E377*C377</f>
        <v>79672.57080000003</v>
      </c>
      <c r="G377" s="632"/>
      <c r="H377" s="632">
        <f t="shared" si="162"/>
        <v>267.67199999999997</v>
      </c>
      <c r="I377" s="642">
        <f t="shared" si="163"/>
        <v>267.67199999999997</v>
      </c>
      <c r="J377" s="643">
        <f t="shared" si="164"/>
        <v>1</v>
      </c>
      <c r="K377" s="636"/>
      <c r="L377" s="636">
        <f t="shared" si="165"/>
        <v>79672.57080000003</v>
      </c>
      <c r="M377" s="636">
        <f t="shared" si="167"/>
        <v>79672.57080000003</v>
      </c>
    </row>
    <row r="378" spans="1:13">
      <c r="A378" s="637">
        <v>3.0299999999999994</v>
      </c>
      <c r="B378" s="315" t="s">
        <v>600</v>
      </c>
      <c r="C378" s="638">
        <v>18.462</v>
      </c>
      <c r="D378" s="639" t="s">
        <v>30</v>
      </c>
      <c r="E378" s="655">
        <v>156.09</v>
      </c>
      <c r="F378" s="641">
        <f t="shared" si="170"/>
        <v>2881.7335800000001</v>
      </c>
      <c r="G378" s="632"/>
      <c r="H378" s="632">
        <f t="shared" si="162"/>
        <v>18.462</v>
      </c>
      <c r="I378" s="642">
        <f t="shared" si="163"/>
        <v>18.462</v>
      </c>
      <c r="J378" s="643">
        <f t="shared" si="164"/>
        <v>1</v>
      </c>
      <c r="K378" s="636"/>
      <c r="L378" s="636">
        <f t="shared" si="165"/>
        <v>2881.7335800000001</v>
      </c>
      <c r="M378" s="636">
        <f t="shared" si="167"/>
        <v>2881.7335800000001</v>
      </c>
    </row>
    <row r="379" spans="1:13">
      <c r="A379" s="637"/>
      <c r="B379" s="315"/>
      <c r="C379" s="638"/>
      <c r="D379" s="639"/>
      <c r="E379" s="655"/>
      <c r="F379" s="772">
        <f>+SUBTOTAL(9,F376:F378)</f>
        <v>109177.98198000004</v>
      </c>
      <c r="G379" s="632"/>
      <c r="H379" s="632"/>
      <c r="I379" s="642"/>
      <c r="J379" s="652"/>
      <c r="K379" s="657">
        <f>+SUBTOTAL(9,K376:K378)</f>
        <v>0</v>
      </c>
      <c r="L379" s="657">
        <f>+SUBTOTAL(9,L376:L378)</f>
        <v>109177.98198000004</v>
      </c>
      <c r="M379" s="657">
        <f t="shared" ref="M379" si="171">+SUBTOTAL(9,M376:M378)</f>
        <v>109177.98198000004</v>
      </c>
    </row>
    <row r="380" spans="1:13" s="779" customFormat="1">
      <c r="A380" s="628">
        <v>10</v>
      </c>
      <c r="B380" s="301" t="s">
        <v>623</v>
      </c>
      <c r="C380" s="774"/>
      <c r="D380" s="649"/>
      <c r="E380" s="775"/>
      <c r="F380" s="776"/>
      <c r="G380" s="777"/>
      <c r="H380" s="632"/>
      <c r="I380" s="642"/>
      <c r="J380" s="643"/>
      <c r="K380" s="778"/>
      <c r="L380" s="636"/>
      <c r="M380" s="636"/>
    </row>
    <row r="381" spans="1:13">
      <c r="A381" s="637" t="s">
        <v>670</v>
      </c>
      <c r="B381" s="315" t="s">
        <v>626</v>
      </c>
      <c r="C381" s="638">
        <v>3</v>
      </c>
      <c r="D381" s="639" t="s">
        <v>32</v>
      </c>
      <c r="E381" s="655">
        <v>2641.0899999999988</v>
      </c>
      <c r="F381" s="641">
        <f>+E381*C381</f>
        <v>7923.2699999999968</v>
      </c>
      <c r="G381" s="632"/>
      <c r="H381" s="632">
        <f t="shared" si="162"/>
        <v>3</v>
      </c>
      <c r="I381" s="642">
        <f t="shared" si="163"/>
        <v>3</v>
      </c>
      <c r="J381" s="643">
        <f t="shared" si="164"/>
        <v>1</v>
      </c>
      <c r="K381" s="636"/>
      <c r="L381" s="636">
        <f t="shared" si="165"/>
        <v>7923.2699999999968</v>
      </c>
      <c r="M381" s="636">
        <f t="shared" si="167"/>
        <v>7923.2699999999968</v>
      </c>
    </row>
    <row r="382" spans="1:13">
      <c r="A382" s="637" t="s">
        <v>671</v>
      </c>
      <c r="B382" s="315" t="s">
        <v>627</v>
      </c>
      <c r="C382" s="638">
        <v>4</v>
      </c>
      <c r="D382" s="639" t="s">
        <v>32</v>
      </c>
      <c r="E382" s="655">
        <v>2408.6100000000006</v>
      </c>
      <c r="F382" s="641">
        <f t="shared" ref="F382:F383" si="172">+E382*C382</f>
        <v>9634.4400000000023</v>
      </c>
      <c r="G382" s="632"/>
      <c r="H382" s="632">
        <f t="shared" si="162"/>
        <v>4</v>
      </c>
      <c r="I382" s="642">
        <f t="shared" si="163"/>
        <v>4</v>
      </c>
      <c r="J382" s="643">
        <f t="shared" si="164"/>
        <v>1</v>
      </c>
      <c r="K382" s="636"/>
      <c r="L382" s="636">
        <f t="shared" si="165"/>
        <v>9634.4400000000023</v>
      </c>
      <c r="M382" s="636">
        <f t="shared" si="167"/>
        <v>9634.4400000000023</v>
      </c>
    </row>
    <row r="383" spans="1:13">
      <c r="A383" s="637" t="s">
        <v>672</v>
      </c>
      <c r="B383" s="315" t="s">
        <v>673</v>
      </c>
      <c r="C383" s="638">
        <v>2</v>
      </c>
      <c r="D383" s="639" t="s">
        <v>32</v>
      </c>
      <c r="E383" s="655">
        <v>1087.7199999999998</v>
      </c>
      <c r="F383" s="641">
        <f t="shared" si="172"/>
        <v>2175.4399999999996</v>
      </c>
      <c r="G383" s="632"/>
      <c r="H383" s="632">
        <f t="shared" si="162"/>
        <v>2</v>
      </c>
      <c r="I383" s="642">
        <f t="shared" si="163"/>
        <v>2</v>
      </c>
      <c r="J383" s="643">
        <f t="shared" si="164"/>
        <v>1</v>
      </c>
      <c r="K383" s="636"/>
      <c r="L383" s="636">
        <f t="shared" si="165"/>
        <v>2175.4399999999996</v>
      </c>
      <c r="M383" s="636">
        <f t="shared" si="167"/>
        <v>2175.4399999999996</v>
      </c>
    </row>
    <row r="384" spans="1:13">
      <c r="A384" s="637"/>
      <c r="B384" s="315"/>
      <c r="C384" s="638"/>
      <c r="D384" s="639"/>
      <c r="E384" s="655"/>
      <c r="F384" s="772">
        <f>+SUBTOTAL(9,F381:F383)</f>
        <v>19733.149999999998</v>
      </c>
      <c r="G384" s="632"/>
      <c r="H384" s="632"/>
      <c r="I384" s="642"/>
      <c r="J384" s="652"/>
      <c r="K384" s="657">
        <f>+SUBTOTAL(9,K381:K383)</f>
        <v>0</v>
      </c>
      <c r="L384" s="657">
        <f>+SUBTOTAL(9,L381:L383)</f>
        <v>19733.149999999998</v>
      </c>
      <c r="M384" s="657">
        <f t="shared" ref="M384" si="173">+SUBTOTAL(9,M381:M383)</f>
        <v>19733.149999999998</v>
      </c>
    </row>
    <row r="385" spans="1:13">
      <c r="A385" s="637">
        <v>11</v>
      </c>
      <c r="B385" s="315" t="s">
        <v>636</v>
      </c>
      <c r="C385" s="638"/>
      <c r="D385" s="639"/>
      <c r="E385" s="655"/>
      <c r="F385" s="641"/>
      <c r="G385" s="632"/>
      <c r="H385" s="632"/>
      <c r="I385" s="642"/>
      <c r="J385" s="643"/>
      <c r="K385" s="636"/>
      <c r="L385" s="636"/>
      <c r="M385" s="636"/>
    </row>
    <row r="386" spans="1:13">
      <c r="A386" s="637">
        <v>11.01</v>
      </c>
      <c r="B386" s="315" t="s">
        <v>637</v>
      </c>
      <c r="C386" s="638">
        <v>19</v>
      </c>
      <c r="D386" s="639" t="s">
        <v>32</v>
      </c>
      <c r="E386" s="655">
        <v>496.22799999999989</v>
      </c>
      <c r="F386" s="641">
        <f>+E386*C386</f>
        <v>9428.3319999999985</v>
      </c>
      <c r="G386" s="632"/>
      <c r="H386" s="632">
        <f t="shared" si="162"/>
        <v>19</v>
      </c>
      <c r="I386" s="642">
        <f t="shared" si="163"/>
        <v>19</v>
      </c>
      <c r="J386" s="643">
        <f t="shared" si="164"/>
        <v>1</v>
      </c>
      <c r="K386" s="636"/>
      <c r="L386" s="636">
        <f t="shared" si="165"/>
        <v>9428.3319999999985</v>
      </c>
      <c r="M386" s="636">
        <f t="shared" si="167"/>
        <v>9428.3319999999985</v>
      </c>
    </row>
    <row r="387" spans="1:13">
      <c r="A387" s="637">
        <v>11.02</v>
      </c>
      <c r="B387" s="315" t="s">
        <v>638</v>
      </c>
      <c r="C387" s="638">
        <v>6</v>
      </c>
      <c r="D387" s="639" t="s">
        <v>32</v>
      </c>
      <c r="E387" s="655">
        <v>540.88400000000001</v>
      </c>
      <c r="F387" s="641">
        <f t="shared" ref="F387:F394" si="174">+E387*C387</f>
        <v>3245.3040000000001</v>
      </c>
      <c r="G387" s="632"/>
      <c r="H387" s="632">
        <f t="shared" si="162"/>
        <v>6</v>
      </c>
      <c r="I387" s="642">
        <f t="shared" si="163"/>
        <v>6</v>
      </c>
      <c r="J387" s="643">
        <f t="shared" si="164"/>
        <v>1</v>
      </c>
      <c r="K387" s="636"/>
      <c r="L387" s="636">
        <f t="shared" si="165"/>
        <v>3245.3040000000001</v>
      </c>
      <c r="M387" s="636">
        <f t="shared" si="167"/>
        <v>3245.3040000000001</v>
      </c>
    </row>
    <row r="388" spans="1:13">
      <c r="A388" s="637">
        <v>11.03</v>
      </c>
      <c r="B388" s="315" t="s">
        <v>639</v>
      </c>
      <c r="C388" s="638">
        <v>1</v>
      </c>
      <c r="D388" s="639" t="s">
        <v>32</v>
      </c>
      <c r="E388" s="655">
        <v>717.47000000000025</v>
      </c>
      <c r="F388" s="641">
        <f t="shared" si="174"/>
        <v>717.47000000000025</v>
      </c>
      <c r="G388" s="632"/>
      <c r="H388" s="632">
        <f t="shared" si="162"/>
        <v>1</v>
      </c>
      <c r="I388" s="642">
        <f t="shared" si="163"/>
        <v>1</v>
      </c>
      <c r="J388" s="643">
        <f t="shared" si="164"/>
        <v>1</v>
      </c>
      <c r="K388" s="636"/>
      <c r="L388" s="636">
        <f t="shared" si="165"/>
        <v>717.47000000000025</v>
      </c>
      <c r="M388" s="636">
        <f t="shared" si="167"/>
        <v>717.47000000000025</v>
      </c>
    </row>
    <row r="389" spans="1:13">
      <c r="A389" s="637">
        <v>11.04</v>
      </c>
      <c r="B389" s="315" t="s">
        <v>640</v>
      </c>
      <c r="C389" s="638">
        <v>0.5</v>
      </c>
      <c r="D389" s="639" t="s">
        <v>32</v>
      </c>
      <c r="E389" s="655">
        <v>884.13200000000006</v>
      </c>
      <c r="F389" s="641">
        <f t="shared" si="174"/>
        <v>442.06600000000003</v>
      </c>
      <c r="G389" s="632"/>
      <c r="H389" s="632">
        <f t="shared" si="162"/>
        <v>0.5</v>
      </c>
      <c r="I389" s="642">
        <f t="shared" si="163"/>
        <v>0.5</v>
      </c>
      <c r="J389" s="643">
        <f t="shared" si="164"/>
        <v>1</v>
      </c>
      <c r="K389" s="636"/>
      <c r="L389" s="636">
        <f t="shared" si="165"/>
        <v>442.06600000000003</v>
      </c>
      <c r="M389" s="636">
        <f t="shared" si="167"/>
        <v>442.06600000000003</v>
      </c>
    </row>
    <row r="390" spans="1:13">
      <c r="A390" s="637">
        <v>11.049999999999999</v>
      </c>
      <c r="B390" s="315" t="s">
        <v>641</v>
      </c>
      <c r="C390" s="638">
        <v>1</v>
      </c>
      <c r="D390" s="639" t="s">
        <v>32</v>
      </c>
      <c r="E390" s="655">
        <v>669.5300000000002</v>
      </c>
      <c r="F390" s="641">
        <f t="shared" si="174"/>
        <v>669.5300000000002</v>
      </c>
      <c r="G390" s="632"/>
      <c r="H390" s="632">
        <f t="shared" si="162"/>
        <v>1</v>
      </c>
      <c r="I390" s="642">
        <f t="shared" si="163"/>
        <v>1</v>
      </c>
      <c r="J390" s="643">
        <f t="shared" si="164"/>
        <v>1</v>
      </c>
      <c r="K390" s="636"/>
      <c r="L390" s="636">
        <f t="shared" si="165"/>
        <v>669.5300000000002</v>
      </c>
      <c r="M390" s="636">
        <f t="shared" si="167"/>
        <v>669.5300000000002</v>
      </c>
    </row>
    <row r="391" spans="1:13">
      <c r="A391" s="637">
        <v>11.059999999999999</v>
      </c>
      <c r="B391" s="315" t="s">
        <v>642</v>
      </c>
      <c r="C391" s="638">
        <v>25</v>
      </c>
      <c r="D391" s="639" t="s">
        <v>32</v>
      </c>
      <c r="E391" s="655">
        <v>696.64800000000014</v>
      </c>
      <c r="F391" s="641">
        <f t="shared" si="174"/>
        <v>17416.200000000004</v>
      </c>
      <c r="G391" s="632"/>
      <c r="H391" s="632">
        <f t="shared" si="162"/>
        <v>25</v>
      </c>
      <c r="I391" s="642">
        <f t="shared" si="163"/>
        <v>25</v>
      </c>
      <c r="J391" s="643">
        <f t="shared" si="164"/>
        <v>1</v>
      </c>
      <c r="K391" s="636"/>
      <c r="L391" s="636">
        <f t="shared" si="165"/>
        <v>17416.200000000004</v>
      </c>
      <c r="M391" s="636">
        <f t="shared" si="167"/>
        <v>17416.200000000004</v>
      </c>
    </row>
    <row r="392" spans="1:13">
      <c r="A392" s="637">
        <v>11.069999999999999</v>
      </c>
      <c r="B392" s="315" t="s">
        <v>643</v>
      </c>
      <c r="C392" s="638">
        <v>7</v>
      </c>
      <c r="D392" s="639" t="s">
        <v>32</v>
      </c>
      <c r="E392" s="655">
        <v>1094.4379999999999</v>
      </c>
      <c r="F392" s="641">
        <f t="shared" si="174"/>
        <v>7661.0659999999989</v>
      </c>
      <c r="G392" s="632"/>
      <c r="H392" s="632">
        <f t="shared" si="162"/>
        <v>7</v>
      </c>
      <c r="I392" s="642">
        <f t="shared" si="163"/>
        <v>7</v>
      </c>
      <c r="J392" s="643">
        <f t="shared" si="164"/>
        <v>1</v>
      </c>
      <c r="K392" s="636"/>
      <c r="L392" s="636">
        <f t="shared" si="165"/>
        <v>7661.0659999999989</v>
      </c>
      <c r="M392" s="636">
        <f t="shared" si="167"/>
        <v>7661.0659999999989</v>
      </c>
    </row>
    <row r="393" spans="1:13">
      <c r="A393" s="637">
        <v>11.079999999999998</v>
      </c>
      <c r="B393" s="315" t="s">
        <v>644</v>
      </c>
      <c r="C393" s="638">
        <v>12</v>
      </c>
      <c r="D393" s="639" t="s">
        <v>32</v>
      </c>
      <c r="E393" s="655">
        <v>308.69800000000004</v>
      </c>
      <c r="F393" s="641">
        <f t="shared" si="174"/>
        <v>3704.3760000000002</v>
      </c>
      <c r="G393" s="632"/>
      <c r="H393" s="632">
        <f t="shared" si="162"/>
        <v>12</v>
      </c>
      <c r="I393" s="642">
        <f t="shared" si="163"/>
        <v>12</v>
      </c>
      <c r="J393" s="643">
        <f t="shared" si="164"/>
        <v>1</v>
      </c>
      <c r="K393" s="636"/>
      <c r="L393" s="636">
        <f t="shared" si="165"/>
        <v>3704.3760000000002</v>
      </c>
      <c r="M393" s="636">
        <f t="shared" si="167"/>
        <v>3704.3760000000002</v>
      </c>
    </row>
    <row r="394" spans="1:13">
      <c r="A394" s="637">
        <v>11.089999999999998</v>
      </c>
      <c r="B394" s="315" t="s">
        <v>645</v>
      </c>
      <c r="C394" s="638">
        <v>0.5</v>
      </c>
      <c r="D394" s="639" t="s">
        <v>32</v>
      </c>
      <c r="E394" s="655">
        <v>5574.637999999999</v>
      </c>
      <c r="F394" s="641">
        <f t="shared" si="174"/>
        <v>2787.3189999999995</v>
      </c>
      <c r="G394" s="632"/>
      <c r="H394" s="632">
        <f t="shared" si="162"/>
        <v>0.5</v>
      </c>
      <c r="I394" s="642">
        <f t="shared" si="163"/>
        <v>0.5</v>
      </c>
      <c r="J394" s="643">
        <f t="shared" si="164"/>
        <v>1</v>
      </c>
      <c r="K394" s="636"/>
      <c r="L394" s="636">
        <f t="shared" si="165"/>
        <v>2787.3189999999995</v>
      </c>
      <c r="M394" s="636">
        <f t="shared" si="167"/>
        <v>2787.3189999999995</v>
      </c>
    </row>
    <row r="395" spans="1:13">
      <c r="A395" s="637"/>
      <c r="B395" s="315"/>
      <c r="C395" s="638"/>
      <c r="D395" s="639"/>
      <c r="E395" s="655"/>
      <c r="F395" s="772">
        <f>+SUBTOTAL(9,F386:F394)</f>
        <v>46071.663000000015</v>
      </c>
      <c r="G395" s="632"/>
      <c r="H395" s="632"/>
      <c r="I395" s="642"/>
      <c r="J395" s="652"/>
      <c r="K395" s="657">
        <f>+SUBTOTAL(9,K386:K394)</f>
        <v>0</v>
      </c>
      <c r="L395" s="657">
        <f>+SUBTOTAL(9,L386:L394)</f>
        <v>46071.663000000015</v>
      </c>
      <c r="M395" s="657">
        <f t="shared" ref="M395" si="175">+SUBTOTAL(9,M386:M394)</f>
        <v>46071.663000000015</v>
      </c>
    </row>
    <row r="396" spans="1:13" s="779" customFormat="1">
      <c r="A396" s="628" t="s">
        <v>195</v>
      </c>
      <c r="B396" s="301" t="s">
        <v>646</v>
      </c>
      <c r="C396" s="774"/>
      <c r="D396" s="649"/>
      <c r="E396" s="775"/>
      <c r="F396" s="776"/>
      <c r="G396" s="777"/>
      <c r="H396" s="777"/>
      <c r="I396" s="780"/>
      <c r="J396" s="781"/>
      <c r="K396" s="778"/>
      <c r="L396" s="778"/>
      <c r="M396" s="778"/>
    </row>
    <row r="397" spans="1:13">
      <c r="A397" s="637">
        <v>1</v>
      </c>
      <c r="B397" s="315" t="s">
        <v>585</v>
      </c>
      <c r="C397" s="638"/>
      <c r="D397" s="639"/>
      <c r="E397" s="655"/>
      <c r="F397" s="641"/>
      <c r="G397" s="632"/>
      <c r="H397" s="632"/>
      <c r="I397" s="642"/>
      <c r="J397" s="643"/>
      <c r="K397" s="636"/>
      <c r="L397" s="636"/>
      <c r="M397" s="636"/>
    </row>
    <row r="398" spans="1:13">
      <c r="A398" s="637">
        <v>1.01</v>
      </c>
      <c r="B398" s="315" t="s">
        <v>588</v>
      </c>
      <c r="C398" s="638">
        <v>14.580000000000002</v>
      </c>
      <c r="D398" s="639" t="s">
        <v>38</v>
      </c>
      <c r="E398" s="655">
        <v>18225.63</v>
      </c>
      <c r="F398" s="641">
        <f>+E398*C398</f>
        <v>265729.68540000007</v>
      </c>
      <c r="G398" s="632"/>
      <c r="H398" s="632">
        <f t="shared" si="162"/>
        <v>14.580000000000002</v>
      </c>
      <c r="I398" s="642">
        <f t="shared" si="163"/>
        <v>14.580000000000002</v>
      </c>
      <c r="J398" s="643">
        <f t="shared" si="164"/>
        <v>1</v>
      </c>
      <c r="K398" s="636"/>
      <c r="L398" s="636">
        <f t="shared" si="165"/>
        <v>265729.68540000007</v>
      </c>
      <c r="M398" s="636">
        <f t="shared" si="167"/>
        <v>265729.68540000007</v>
      </c>
    </row>
    <row r="399" spans="1:13">
      <c r="A399" s="637">
        <v>1.02</v>
      </c>
      <c r="B399" s="315" t="s">
        <v>668</v>
      </c>
      <c r="C399" s="638">
        <v>35.384000000000007</v>
      </c>
      <c r="D399" s="639" t="s">
        <v>38</v>
      </c>
      <c r="E399" s="655">
        <v>11244.825072122989</v>
      </c>
      <c r="F399" s="641">
        <f t="shared" ref="F399:F402" si="176">+E399*C399</f>
        <v>397886.8903519999</v>
      </c>
      <c r="G399" s="632"/>
      <c r="H399" s="632">
        <f t="shared" si="162"/>
        <v>35.384000000000007</v>
      </c>
      <c r="I399" s="642">
        <f t="shared" si="163"/>
        <v>35.384000000000007</v>
      </c>
      <c r="J399" s="643">
        <f t="shared" si="164"/>
        <v>1</v>
      </c>
      <c r="K399" s="636"/>
      <c r="L399" s="636">
        <f t="shared" si="165"/>
        <v>397886.8903519999</v>
      </c>
      <c r="M399" s="636">
        <f t="shared" si="167"/>
        <v>397886.8903519999</v>
      </c>
    </row>
    <row r="400" spans="1:13">
      <c r="A400" s="637">
        <v>1.03</v>
      </c>
      <c r="B400" s="315" t="s">
        <v>591</v>
      </c>
      <c r="C400" s="638">
        <v>16.45</v>
      </c>
      <c r="D400" s="639" t="s">
        <v>38</v>
      </c>
      <c r="E400" s="655">
        <v>9398.9800000000014</v>
      </c>
      <c r="F400" s="641">
        <f t="shared" si="176"/>
        <v>154613.22100000002</v>
      </c>
      <c r="G400" s="632"/>
      <c r="H400" s="632">
        <f t="shared" si="162"/>
        <v>16.45</v>
      </c>
      <c r="I400" s="642">
        <f t="shared" si="163"/>
        <v>16.45</v>
      </c>
      <c r="J400" s="643">
        <f t="shared" si="164"/>
        <v>1</v>
      </c>
      <c r="K400" s="636"/>
      <c r="L400" s="636">
        <f t="shared" si="165"/>
        <v>154613.22100000002</v>
      </c>
      <c r="M400" s="636">
        <f t="shared" si="167"/>
        <v>154613.22100000002</v>
      </c>
    </row>
    <row r="401" spans="1:13">
      <c r="A401" s="637">
        <v>1.04</v>
      </c>
      <c r="B401" s="315" t="s">
        <v>592</v>
      </c>
      <c r="C401" s="638">
        <v>1.1999959999999998</v>
      </c>
      <c r="D401" s="639" t="s">
        <v>38</v>
      </c>
      <c r="E401" s="655">
        <v>10807.795146083816</v>
      </c>
      <c r="F401" s="641">
        <f t="shared" si="176"/>
        <v>12969.310944119992</v>
      </c>
      <c r="G401" s="632"/>
      <c r="H401" s="632">
        <f t="shared" si="162"/>
        <v>1.1999959999999998</v>
      </c>
      <c r="I401" s="642">
        <f t="shared" si="163"/>
        <v>1.1999959999999998</v>
      </c>
      <c r="J401" s="643">
        <f t="shared" si="164"/>
        <v>1</v>
      </c>
      <c r="K401" s="636"/>
      <c r="L401" s="636">
        <f t="shared" si="165"/>
        <v>12969.310944119992</v>
      </c>
      <c r="M401" s="636">
        <f t="shared" si="167"/>
        <v>12969.310944119992</v>
      </c>
    </row>
    <row r="402" spans="1:13">
      <c r="A402" s="637">
        <v>1.05</v>
      </c>
      <c r="B402" s="315" t="s">
        <v>594</v>
      </c>
      <c r="C402" s="638">
        <v>45.43</v>
      </c>
      <c r="D402" s="639" t="s">
        <v>38</v>
      </c>
      <c r="E402" s="655">
        <v>8570.6106393268383</v>
      </c>
      <c r="F402" s="641">
        <f t="shared" si="176"/>
        <v>389362.84134461824</v>
      </c>
      <c r="G402" s="632"/>
      <c r="H402" s="632">
        <f t="shared" si="162"/>
        <v>45.43</v>
      </c>
      <c r="I402" s="642">
        <f t="shared" si="163"/>
        <v>45.43</v>
      </c>
      <c r="J402" s="643">
        <f t="shared" si="164"/>
        <v>1</v>
      </c>
      <c r="K402" s="636"/>
      <c r="L402" s="636">
        <f t="shared" si="165"/>
        <v>389362.84134461824</v>
      </c>
      <c r="M402" s="636">
        <f t="shared" si="167"/>
        <v>389362.84134461824</v>
      </c>
    </row>
    <row r="403" spans="1:13">
      <c r="A403" s="637"/>
      <c r="B403" s="315"/>
      <c r="C403" s="638"/>
      <c r="D403" s="639"/>
      <c r="E403" s="655"/>
      <c r="F403" s="772">
        <f>+SUBTOTAL(9,F398:F402)</f>
        <v>1220561.9490407382</v>
      </c>
      <c r="G403" s="632"/>
      <c r="H403" s="632"/>
      <c r="I403" s="642"/>
      <c r="J403" s="652"/>
      <c r="K403" s="657">
        <f>+SUBTOTAL(9,K398:K402)</f>
        <v>0</v>
      </c>
      <c r="L403" s="657">
        <f t="shared" ref="L403:M403" si="177">+SUBTOTAL(9,L398:L402)</f>
        <v>1220561.9490407382</v>
      </c>
      <c r="M403" s="657">
        <f t="shared" si="177"/>
        <v>1220561.9490407382</v>
      </c>
    </row>
    <row r="404" spans="1:13" s="779" customFormat="1">
      <c r="A404" s="628">
        <v>2</v>
      </c>
      <c r="B404" s="301" t="s">
        <v>595</v>
      </c>
      <c r="C404" s="774"/>
      <c r="D404" s="649"/>
      <c r="E404" s="775"/>
      <c r="F404" s="776"/>
      <c r="G404" s="777"/>
      <c r="H404" s="777"/>
      <c r="I404" s="780"/>
      <c r="J404" s="781"/>
      <c r="K404" s="778"/>
      <c r="L404" s="778"/>
      <c r="M404" s="778"/>
    </row>
    <row r="405" spans="1:13">
      <c r="A405" s="637">
        <v>2.0099999999999998</v>
      </c>
      <c r="B405" s="315" t="s">
        <v>596</v>
      </c>
      <c r="C405" s="638">
        <v>98.232000000000014</v>
      </c>
      <c r="D405" s="639" t="s">
        <v>189</v>
      </c>
      <c r="E405" s="655">
        <v>475.87998440834031</v>
      </c>
      <c r="F405" s="641">
        <f>+E405*C405</f>
        <v>46746.642628400092</v>
      </c>
      <c r="G405" s="632"/>
      <c r="H405" s="632">
        <f t="shared" si="162"/>
        <v>98.232000000000014</v>
      </c>
      <c r="I405" s="642">
        <f t="shared" si="163"/>
        <v>98.232000000000014</v>
      </c>
      <c r="J405" s="643">
        <f t="shared" si="164"/>
        <v>1</v>
      </c>
      <c r="K405" s="636"/>
      <c r="L405" s="636">
        <f t="shared" si="165"/>
        <v>46746.642628400092</v>
      </c>
      <c r="M405" s="636">
        <f t="shared" si="167"/>
        <v>46746.642628400092</v>
      </c>
    </row>
    <row r="406" spans="1:13">
      <c r="A406" s="637"/>
      <c r="B406" s="315"/>
      <c r="C406" s="638"/>
      <c r="D406" s="639"/>
      <c r="E406" s="655"/>
      <c r="F406" s="772">
        <f>+SUBTOTAL(9,F405)</f>
        <v>46746.642628400092</v>
      </c>
      <c r="G406" s="632"/>
      <c r="H406" s="632"/>
      <c r="I406" s="642"/>
      <c r="J406" s="652"/>
      <c r="K406" s="657">
        <f>+SUBTOTAL(9,K405)</f>
        <v>0</v>
      </c>
      <c r="L406" s="657">
        <f t="shared" ref="L406:M406" si="178">+SUBTOTAL(9,L405)</f>
        <v>46746.642628400092</v>
      </c>
      <c r="M406" s="657">
        <f t="shared" si="178"/>
        <v>46746.642628400092</v>
      </c>
    </row>
    <row r="407" spans="1:13" s="779" customFormat="1">
      <c r="A407" s="628">
        <v>3</v>
      </c>
      <c r="B407" s="301" t="s">
        <v>597</v>
      </c>
      <c r="C407" s="774"/>
      <c r="D407" s="649"/>
      <c r="E407" s="775"/>
      <c r="F407" s="776"/>
      <c r="G407" s="777"/>
      <c r="H407" s="777"/>
      <c r="I407" s="780"/>
      <c r="J407" s="781"/>
      <c r="K407" s="778"/>
      <c r="L407" s="778"/>
      <c r="M407" s="778"/>
    </row>
    <row r="408" spans="1:13">
      <c r="A408" s="637">
        <v>3.01</v>
      </c>
      <c r="B408" s="315" t="s">
        <v>598</v>
      </c>
      <c r="C408" s="638">
        <v>921.72499999999991</v>
      </c>
      <c r="D408" s="639" t="s">
        <v>189</v>
      </c>
      <c r="E408" s="655">
        <v>44.7</v>
      </c>
      <c r="F408" s="641">
        <f>+E408*C408</f>
        <v>41201.107499999998</v>
      </c>
      <c r="G408" s="632"/>
      <c r="H408" s="632">
        <f t="shared" si="162"/>
        <v>921.72499999999991</v>
      </c>
      <c r="I408" s="642">
        <f t="shared" si="163"/>
        <v>921.72499999999991</v>
      </c>
      <c r="J408" s="643">
        <f t="shared" si="164"/>
        <v>1</v>
      </c>
      <c r="K408" s="636"/>
      <c r="L408" s="636">
        <f t="shared" si="165"/>
        <v>41201.107499999998</v>
      </c>
      <c r="M408" s="636">
        <f t="shared" si="167"/>
        <v>41201.107499999998</v>
      </c>
    </row>
    <row r="409" spans="1:13" ht="26.25">
      <c r="A409" s="637">
        <v>3.0199999999999996</v>
      </c>
      <c r="B409" s="315" t="s">
        <v>599</v>
      </c>
      <c r="C409" s="638">
        <v>171.90600000000001</v>
      </c>
      <c r="D409" s="639" t="s">
        <v>189</v>
      </c>
      <c r="E409" s="655">
        <v>297.65000000000003</v>
      </c>
      <c r="F409" s="641">
        <f t="shared" ref="F409:F410" si="179">+E409*C409</f>
        <v>51167.820900000006</v>
      </c>
      <c r="G409" s="632"/>
      <c r="H409" s="632">
        <f t="shared" si="162"/>
        <v>171.90600000000001</v>
      </c>
      <c r="I409" s="642">
        <f t="shared" si="163"/>
        <v>171.90600000000001</v>
      </c>
      <c r="J409" s="643">
        <f t="shared" si="164"/>
        <v>1</v>
      </c>
      <c r="K409" s="636"/>
      <c r="L409" s="636">
        <f t="shared" si="165"/>
        <v>51167.820900000006</v>
      </c>
      <c r="M409" s="636">
        <f t="shared" si="167"/>
        <v>51167.820900000006</v>
      </c>
    </row>
    <row r="410" spans="1:13">
      <c r="A410" s="637">
        <v>3.0299999999999994</v>
      </c>
      <c r="B410" s="315" t="s">
        <v>600</v>
      </c>
      <c r="C410" s="638">
        <v>18.899999999999999</v>
      </c>
      <c r="D410" s="639" t="s">
        <v>30</v>
      </c>
      <c r="E410" s="655">
        <v>156.09000000000003</v>
      </c>
      <c r="F410" s="641">
        <f t="shared" si="179"/>
        <v>2950.1010000000006</v>
      </c>
      <c r="G410" s="632"/>
      <c r="H410" s="632">
        <f t="shared" si="162"/>
        <v>18.899999999999999</v>
      </c>
      <c r="I410" s="642">
        <f t="shared" si="163"/>
        <v>18.899999999999999</v>
      </c>
      <c r="J410" s="643">
        <f t="shared" si="164"/>
        <v>1</v>
      </c>
      <c r="K410" s="636"/>
      <c r="L410" s="636">
        <f t="shared" si="165"/>
        <v>2950.1010000000006</v>
      </c>
      <c r="M410" s="636">
        <f t="shared" si="167"/>
        <v>2950.1010000000006</v>
      </c>
    </row>
    <row r="411" spans="1:13">
      <c r="A411" s="637"/>
      <c r="B411" s="315"/>
      <c r="C411" s="638"/>
      <c r="D411" s="639"/>
      <c r="E411" s="655"/>
      <c r="F411" s="772">
        <f>+SUBTOTAL(9,F408:F410)</f>
        <v>95319.029399999999</v>
      </c>
      <c r="G411" s="632"/>
      <c r="H411" s="632"/>
      <c r="I411" s="642"/>
      <c r="J411" s="652"/>
      <c r="K411" s="657">
        <f>+SUBTOTAL(9,K408:K410)</f>
        <v>0</v>
      </c>
      <c r="L411" s="657">
        <f>+SUBTOTAL(9,L408:L410)</f>
        <v>95319.029399999999</v>
      </c>
      <c r="M411" s="657">
        <f t="shared" ref="M411" si="180">+SUBTOTAL(9,M408:M410)</f>
        <v>95319.029399999999</v>
      </c>
    </row>
    <row r="412" spans="1:13" s="779" customFormat="1">
      <c r="A412" s="628" t="s">
        <v>203</v>
      </c>
      <c r="B412" s="301" t="s">
        <v>648</v>
      </c>
      <c r="C412" s="774"/>
      <c r="D412" s="649"/>
      <c r="E412" s="775"/>
      <c r="F412" s="776"/>
      <c r="G412" s="777"/>
      <c r="H412" s="777"/>
      <c r="I412" s="780"/>
      <c r="J412" s="781"/>
      <c r="K412" s="778"/>
      <c r="L412" s="778"/>
      <c r="M412" s="778"/>
    </row>
    <row r="413" spans="1:13">
      <c r="A413" s="637">
        <v>1</v>
      </c>
      <c r="B413" s="315" t="s">
        <v>585</v>
      </c>
      <c r="C413" s="638"/>
      <c r="D413" s="639"/>
      <c r="E413" s="655"/>
      <c r="F413" s="641"/>
      <c r="G413" s="632"/>
      <c r="H413" s="632"/>
      <c r="I413" s="642"/>
      <c r="J413" s="643"/>
      <c r="K413" s="636"/>
      <c r="L413" s="636"/>
      <c r="M413" s="636"/>
    </row>
    <row r="414" spans="1:13">
      <c r="A414" s="637">
        <v>1.01</v>
      </c>
      <c r="B414" s="315" t="s">
        <v>588</v>
      </c>
      <c r="C414" s="638">
        <v>10.368000000000002</v>
      </c>
      <c r="D414" s="639" t="s">
        <v>38</v>
      </c>
      <c r="E414" s="655">
        <v>18225.63</v>
      </c>
      <c r="F414" s="641">
        <f>+E414*C414</f>
        <v>188963.33184000006</v>
      </c>
      <c r="G414" s="632"/>
      <c r="H414" s="632">
        <f t="shared" si="162"/>
        <v>10.368000000000002</v>
      </c>
      <c r="I414" s="642">
        <f t="shared" si="163"/>
        <v>10.368000000000002</v>
      </c>
      <c r="J414" s="643">
        <f t="shared" si="164"/>
        <v>1</v>
      </c>
      <c r="K414" s="636"/>
      <c r="L414" s="636">
        <f t="shared" si="165"/>
        <v>188963.33184000006</v>
      </c>
      <c r="M414" s="636">
        <f t="shared" si="167"/>
        <v>188963.33184000006</v>
      </c>
    </row>
    <row r="415" spans="1:13">
      <c r="A415" s="637">
        <v>1.02</v>
      </c>
      <c r="B415" s="315" t="s">
        <v>668</v>
      </c>
      <c r="C415" s="638">
        <v>28.304000000000002</v>
      </c>
      <c r="D415" s="639" t="s">
        <v>38</v>
      </c>
      <c r="E415" s="655">
        <v>11242.637999999988</v>
      </c>
      <c r="F415" s="641">
        <f t="shared" ref="F415:F418" si="181">+E415*C415</f>
        <v>318211.62595199968</v>
      </c>
      <c r="G415" s="632"/>
      <c r="H415" s="632">
        <f t="shared" si="162"/>
        <v>28.304000000000002</v>
      </c>
      <c r="I415" s="642">
        <f t="shared" si="163"/>
        <v>28.304000000000002</v>
      </c>
      <c r="J415" s="643">
        <f t="shared" si="164"/>
        <v>1</v>
      </c>
      <c r="K415" s="636"/>
      <c r="L415" s="636">
        <f t="shared" si="165"/>
        <v>318211.62595199968</v>
      </c>
      <c r="M415" s="636">
        <f t="shared" si="167"/>
        <v>318211.62595199968</v>
      </c>
    </row>
    <row r="416" spans="1:13">
      <c r="A416" s="637">
        <v>1.03</v>
      </c>
      <c r="B416" s="315" t="s">
        <v>591</v>
      </c>
      <c r="C416" s="638">
        <v>15.3</v>
      </c>
      <c r="D416" s="639" t="s">
        <v>38</v>
      </c>
      <c r="E416" s="655">
        <v>9391.3488993464107</v>
      </c>
      <c r="F416" s="641">
        <f t="shared" si="181"/>
        <v>143687.63816000009</v>
      </c>
      <c r="G416" s="632"/>
      <c r="H416" s="632">
        <f t="shared" si="162"/>
        <v>15.3</v>
      </c>
      <c r="I416" s="642">
        <f t="shared" si="163"/>
        <v>15.3</v>
      </c>
      <c r="J416" s="643">
        <f t="shared" si="164"/>
        <v>1</v>
      </c>
      <c r="K416" s="636"/>
      <c r="L416" s="636">
        <f t="shared" si="165"/>
        <v>143687.63816000009</v>
      </c>
      <c r="M416" s="636">
        <f t="shared" si="167"/>
        <v>143687.63816000009</v>
      </c>
    </row>
    <row r="417" spans="1:13">
      <c r="A417" s="637">
        <v>1.04</v>
      </c>
      <c r="B417" s="315" t="s">
        <v>592</v>
      </c>
      <c r="C417" s="638">
        <v>1.9039999999999999</v>
      </c>
      <c r="D417" s="639" t="s">
        <v>38</v>
      </c>
      <c r="E417" s="655">
        <v>10807.939999999995</v>
      </c>
      <c r="F417" s="641">
        <f t="shared" si="181"/>
        <v>20578.317759999991</v>
      </c>
      <c r="G417" s="632"/>
      <c r="H417" s="632">
        <f t="shared" si="162"/>
        <v>1.9039999999999999</v>
      </c>
      <c r="I417" s="642">
        <f t="shared" si="163"/>
        <v>1.9039999999999999</v>
      </c>
      <c r="J417" s="643">
        <f t="shared" si="164"/>
        <v>1</v>
      </c>
      <c r="K417" s="636"/>
      <c r="L417" s="636">
        <f t="shared" si="165"/>
        <v>20578.317759999991</v>
      </c>
      <c r="M417" s="636">
        <f t="shared" si="167"/>
        <v>20578.317759999991</v>
      </c>
    </row>
    <row r="418" spans="1:13">
      <c r="A418" s="637">
        <v>1.05</v>
      </c>
      <c r="B418" s="315" t="s">
        <v>594</v>
      </c>
      <c r="C418" s="638">
        <v>44.352000000000004</v>
      </c>
      <c r="D418" s="639" t="s">
        <v>38</v>
      </c>
      <c r="E418" s="655">
        <v>8570.6106393268365</v>
      </c>
      <c r="F418" s="641">
        <f t="shared" si="181"/>
        <v>380123.72307542386</v>
      </c>
      <c r="G418" s="632"/>
      <c r="H418" s="632">
        <f t="shared" si="162"/>
        <v>44.352000000000004</v>
      </c>
      <c r="I418" s="642">
        <f t="shared" si="163"/>
        <v>44.352000000000004</v>
      </c>
      <c r="J418" s="643">
        <f t="shared" si="164"/>
        <v>1</v>
      </c>
      <c r="K418" s="636"/>
      <c r="L418" s="636">
        <f t="shared" si="165"/>
        <v>380123.72307542386</v>
      </c>
      <c r="M418" s="636">
        <f t="shared" si="167"/>
        <v>380123.72307542386</v>
      </c>
    </row>
    <row r="419" spans="1:13">
      <c r="A419" s="637"/>
      <c r="B419" s="315"/>
      <c r="C419" s="638"/>
      <c r="D419" s="639"/>
      <c r="E419" s="655"/>
      <c r="F419" s="772">
        <f>+SUBTOTAL(9,F414:F418)</f>
        <v>1051564.6367874236</v>
      </c>
      <c r="G419" s="632"/>
      <c r="H419" s="632"/>
      <c r="I419" s="642"/>
      <c r="J419" s="652"/>
      <c r="K419" s="657">
        <f>+SUBTOTAL(9,K414:K418)</f>
        <v>0</v>
      </c>
      <c r="L419" s="657">
        <f>+SUBTOTAL(9,L414:L418)</f>
        <v>1051564.6367874236</v>
      </c>
      <c r="M419" s="657">
        <f t="shared" ref="M419" si="182">+SUBTOTAL(9,M414:M418)</f>
        <v>1051564.6367874236</v>
      </c>
    </row>
    <row r="420" spans="1:13" s="779" customFormat="1">
      <c r="A420" s="628">
        <v>3</v>
      </c>
      <c r="B420" s="301" t="s">
        <v>656</v>
      </c>
      <c r="C420" s="774"/>
      <c r="D420" s="649"/>
      <c r="E420" s="775"/>
      <c r="F420" s="776"/>
      <c r="G420" s="777"/>
      <c r="H420" s="777"/>
      <c r="I420" s="780"/>
      <c r="J420" s="781"/>
      <c r="K420" s="778"/>
      <c r="L420" s="778"/>
      <c r="M420" s="778"/>
    </row>
    <row r="421" spans="1:13">
      <c r="A421" s="637">
        <v>3.01</v>
      </c>
      <c r="B421" s="315" t="s">
        <v>657</v>
      </c>
      <c r="C421" s="638">
        <v>1</v>
      </c>
      <c r="D421" s="639" t="s">
        <v>88</v>
      </c>
      <c r="E421" s="655">
        <v>315011.54378679447</v>
      </c>
      <c r="F421" s="641">
        <f>+E421*C421</f>
        <v>315011.54378679447</v>
      </c>
      <c r="G421" s="632"/>
      <c r="H421" s="632">
        <f t="shared" si="162"/>
        <v>1</v>
      </c>
      <c r="I421" s="642">
        <f t="shared" si="163"/>
        <v>1</v>
      </c>
      <c r="J421" s="643">
        <f t="shared" si="164"/>
        <v>1</v>
      </c>
      <c r="K421" s="636"/>
      <c r="L421" s="636">
        <f t="shared" si="165"/>
        <v>315011.54378679447</v>
      </c>
      <c r="M421" s="636">
        <f t="shared" si="167"/>
        <v>315011.54378679447</v>
      </c>
    </row>
    <row r="422" spans="1:13">
      <c r="A422" s="637"/>
      <c r="B422" s="663" t="s">
        <v>44</v>
      </c>
      <c r="C422" s="664"/>
      <c r="D422" s="665"/>
      <c r="E422" s="666"/>
      <c r="F422" s="772">
        <f>+SUBTOTAL(9,F421)</f>
        <v>315011.54378679447</v>
      </c>
      <c r="G422" s="632"/>
      <c r="H422" s="632"/>
      <c r="I422" s="642"/>
      <c r="J422" s="652"/>
      <c r="K422" s="657">
        <f>+SUBTOTAL(9,K421)</f>
        <v>0</v>
      </c>
      <c r="L422" s="657">
        <f t="shared" ref="L422:M422" si="183">+SUBTOTAL(9,L421)</f>
        <v>315011.54378679447</v>
      </c>
      <c r="M422" s="657">
        <f t="shared" si="183"/>
        <v>315011.54378679447</v>
      </c>
    </row>
    <row r="423" spans="1:13">
      <c r="A423" s="756"/>
      <c r="B423" s="757" t="s">
        <v>664</v>
      </c>
      <c r="C423" s="758"/>
      <c r="D423" s="756"/>
      <c r="E423" s="758"/>
      <c r="F423" s="760">
        <f>+SUBTOTAL(9,F360:F422)</f>
        <v>4661302.9513355447</v>
      </c>
      <c r="G423" s="758"/>
      <c r="H423" s="758"/>
      <c r="I423" s="758"/>
      <c r="J423" s="758"/>
      <c r="K423" s="760">
        <f>+SUBTOTAL(9,K360:K422)</f>
        <v>0</v>
      </c>
      <c r="L423" s="760">
        <f>+SUBTOTAL(9,L360:L422)</f>
        <v>4661302.9513355447</v>
      </c>
      <c r="M423" s="760">
        <f>+SUBTOTAL(9,M360:M422)</f>
        <v>4661302.9513355447</v>
      </c>
    </row>
    <row r="424" spans="1:13">
      <c r="A424" s="761"/>
      <c r="B424" s="563"/>
      <c r="C424" s="416"/>
      <c r="D424" s="761"/>
      <c r="E424" s="416"/>
      <c r="F424" s="762"/>
      <c r="G424" s="416"/>
      <c r="H424" s="416"/>
      <c r="I424" s="416"/>
      <c r="J424" s="416"/>
      <c r="K424" s="416"/>
      <c r="L424" s="416"/>
      <c r="M424" s="416"/>
    </row>
    <row r="425" spans="1:13" s="790" customFormat="1" ht="18.75">
      <c r="A425" s="782"/>
      <c r="B425" s="773" t="s">
        <v>674</v>
      </c>
      <c r="C425" s="783"/>
      <c r="D425" s="784"/>
      <c r="E425" s="785"/>
      <c r="F425" s="773"/>
      <c r="G425" s="786"/>
      <c r="H425" s="787"/>
      <c r="I425" s="788"/>
      <c r="J425" s="789"/>
    </row>
    <row r="426" spans="1:13">
      <c r="A426" s="761"/>
      <c r="B426" s="563"/>
      <c r="C426" s="416"/>
      <c r="D426" s="761"/>
      <c r="E426" s="416"/>
      <c r="F426" s="762"/>
      <c r="G426" s="416"/>
      <c r="H426" s="416"/>
      <c r="I426" s="416"/>
      <c r="J426" s="416"/>
      <c r="K426" s="416"/>
      <c r="L426" s="416"/>
      <c r="M426" s="416"/>
    </row>
    <row r="427" spans="1:13">
      <c r="A427" s="1117" t="s">
        <v>13</v>
      </c>
      <c r="B427" s="1117"/>
      <c r="C427" s="1117"/>
      <c r="D427" s="1117"/>
      <c r="E427" s="1117"/>
      <c r="F427" s="1117"/>
      <c r="G427" s="1118" t="s">
        <v>14</v>
      </c>
      <c r="H427" s="1118"/>
      <c r="I427" s="1118"/>
      <c r="J427" s="1118"/>
      <c r="K427" s="1119" t="s">
        <v>15</v>
      </c>
      <c r="L427" s="1119"/>
      <c r="M427" s="1119"/>
    </row>
    <row r="428" spans="1:13">
      <c r="A428" s="619" t="s">
        <v>16</v>
      </c>
      <c r="B428" s="620" t="s">
        <v>17</v>
      </c>
      <c r="C428" s="620" t="s">
        <v>19</v>
      </c>
      <c r="D428" s="620" t="s">
        <v>18</v>
      </c>
      <c r="E428" s="621" t="s">
        <v>20</v>
      </c>
      <c r="F428" s="622" t="s">
        <v>21</v>
      </c>
      <c r="G428" s="623" t="s">
        <v>22</v>
      </c>
      <c r="H428" s="623" t="s">
        <v>23</v>
      </c>
      <c r="I428" s="624" t="s">
        <v>24</v>
      </c>
      <c r="J428" s="625" t="s">
        <v>25</v>
      </c>
      <c r="K428" s="626" t="s">
        <v>22</v>
      </c>
      <c r="L428" s="627" t="s">
        <v>23</v>
      </c>
      <c r="M428" s="627" t="s">
        <v>24</v>
      </c>
    </row>
    <row r="429" spans="1:13">
      <c r="A429" s="628">
        <v>1</v>
      </c>
      <c r="B429" s="301" t="s">
        <v>574</v>
      </c>
      <c r="C429" s="315"/>
      <c r="D429" s="629"/>
      <c r="E429" s="630"/>
      <c r="F429" s="631"/>
      <c r="G429" s="632"/>
      <c r="H429" s="632"/>
      <c r="I429" s="633"/>
      <c r="J429" s="634"/>
      <c r="K429" s="635"/>
      <c r="L429" s="636"/>
      <c r="M429" s="636"/>
    </row>
    <row r="430" spans="1:13">
      <c r="A430" s="637">
        <v>1.02</v>
      </c>
      <c r="B430" s="315" t="s">
        <v>576</v>
      </c>
      <c r="C430" s="638">
        <v>125.95500000000004</v>
      </c>
      <c r="D430" s="639" t="s">
        <v>189</v>
      </c>
      <c r="E430" s="655">
        <v>19.553084359493727</v>
      </c>
      <c r="F430" s="641">
        <f>+E430*C430</f>
        <v>2462.8087405000333</v>
      </c>
      <c r="G430" s="632"/>
      <c r="H430" s="632">
        <f>+C430</f>
        <v>125.95500000000004</v>
      </c>
      <c r="I430" s="642">
        <f>+H430+G430</f>
        <v>125.95500000000004</v>
      </c>
      <c r="J430" s="643">
        <f>I430/C430</f>
        <v>1</v>
      </c>
      <c r="K430" s="636"/>
      <c r="L430" s="636">
        <f>+H430*E430</f>
        <v>2462.8087405000333</v>
      </c>
      <c r="M430" s="636">
        <f>K430+L430</f>
        <v>2462.8087405000333</v>
      </c>
    </row>
    <row r="431" spans="1:13">
      <c r="A431" s="637">
        <v>1.03</v>
      </c>
      <c r="B431" s="315" t="s">
        <v>667</v>
      </c>
      <c r="C431" s="645">
        <v>125.95500000000004</v>
      </c>
      <c r="D431" s="639" t="s">
        <v>189</v>
      </c>
      <c r="E431" s="655">
        <v>29.347051956651253</v>
      </c>
      <c r="F431" s="641">
        <f>+E431*C431</f>
        <v>3696.4079292000097</v>
      </c>
      <c r="G431" s="632"/>
      <c r="H431" s="632">
        <f>+C431</f>
        <v>125.95500000000004</v>
      </c>
      <c r="I431" s="642">
        <f>+H431+G431</f>
        <v>125.95500000000004</v>
      </c>
      <c r="J431" s="643">
        <f>I431/C431</f>
        <v>1</v>
      </c>
      <c r="K431" s="636"/>
      <c r="L431" s="636">
        <f>+H431*E431</f>
        <v>3696.4079292000097</v>
      </c>
      <c r="M431" s="636">
        <f>K431+L431</f>
        <v>3696.4079292000097</v>
      </c>
    </row>
    <row r="432" spans="1:13">
      <c r="A432" s="628"/>
      <c r="B432" s="301"/>
      <c r="C432" s="315"/>
      <c r="D432" s="629"/>
      <c r="E432" s="630"/>
      <c r="F432" s="772">
        <f>+SUBTOTAL(9,F430:F431)</f>
        <v>6159.216669700043</v>
      </c>
      <c r="G432" s="632"/>
      <c r="H432" s="632"/>
      <c r="I432" s="642"/>
      <c r="J432" s="652"/>
      <c r="K432" s="657">
        <f>+SUBTOTAL(9,K430:K431)</f>
        <v>0</v>
      </c>
      <c r="L432" s="657">
        <f t="shared" ref="L432:M432" si="184">+SUBTOTAL(9,L430:L431)</f>
        <v>6159.216669700043</v>
      </c>
      <c r="M432" s="657">
        <f t="shared" si="184"/>
        <v>6159.216669700043</v>
      </c>
    </row>
    <row r="433" spans="1:13" s="779" customFormat="1">
      <c r="A433" s="628">
        <v>2</v>
      </c>
      <c r="B433" s="301" t="s">
        <v>579</v>
      </c>
      <c r="C433" s="791"/>
      <c r="D433" s="649"/>
      <c r="E433" s="792"/>
      <c r="F433" s="776"/>
      <c r="G433" s="777"/>
      <c r="H433" s="777"/>
      <c r="I433" s="780"/>
      <c r="J433" s="781"/>
      <c r="K433" s="778"/>
      <c r="L433" s="778"/>
      <c r="M433" s="778"/>
    </row>
    <row r="434" spans="1:13" ht="26.25">
      <c r="A434" s="637">
        <v>2.0099999999999998</v>
      </c>
      <c r="B434" s="315" t="s">
        <v>580</v>
      </c>
      <c r="C434" s="638">
        <v>52.188000000000017</v>
      </c>
      <c r="D434" s="639" t="s">
        <v>38</v>
      </c>
      <c r="E434" s="655">
        <v>344.52997667772593</v>
      </c>
      <c r="F434" s="641">
        <f>+E434*C434</f>
        <v>17980.330422857165</v>
      </c>
      <c r="G434" s="632"/>
      <c r="H434" s="632">
        <f t="shared" ref="H434:H439" si="185">+C434</f>
        <v>52.188000000000017</v>
      </c>
      <c r="I434" s="642">
        <f t="shared" ref="I434:I439" si="186">+H434+G434</f>
        <v>52.188000000000017</v>
      </c>
      <c r="J434" s="643">
        <f t="shared" ref="J434:J439" si="187">I434/C434</f>
        <v>1</v>
      </c>
      <c r="K434" s="636"/>
      <c r="L434" s="636">
        <f t="shared" ref="L434:L439" si="188">+H434*E434</f>
        <v>17980.330422857165</v>
      </c>
      <c r="M434" s="636">
        <f>K434+L434</f>
        <v>17980.330422857165</v>
      </c>
    </row>
    <row r="435" spans="1:13">
      <c r="A435" s="637">
        <v>2.0199999999999996</v>
      </c>
      <c r="B435" s="315" t="s">
        <v>581</v>
      </c>
      <c r="C435" s="638">
        <v>67.844400000000022</v>
      </c>
      <c r="D435" s="639" t="s">
        <v>582</v>
      </c>
      <c r="E435" s="655">
        <v>344.65000000000015</v>
      </c>
      <c r="F435" s="641">
        <f t="shared" ref="F435:F439" si="189">+E435*C435</f>
        <v>23382.572460000018</v>
      </c>
      <c r="G435" s="632"/>
      <c r="H435" s="632">
        <f t="shared" si="185"/>
        <v>67.844400000000022</v>
      </c>
      <c r="I435" s="642">
        <f t="shared" si="186"/>
        <v>67.844400000000022</v>
      </c>
      <c r="J435" s="643">
        <f t="shared" si="187"/>
        <v>1</v>
      </c>
      <c r="K435" s="636"/>
      <c r="L435" s="636">
        <f t="shared" si="188"/>
        <v>23382.572460000018</v>
      </c>
      <c r="M435" s="636">
        <f t="shared" ref="M435:M439" si="190">K435+L435</f>
        <v>23382.572460000018</v>
      </c>
    </row>
    <row r="436" spans="1:13">
      <c r="A436" s="637">
        <v>2.0299999999999994</v>
      </c>
      <c r="B436" s="315" t="s">
        <v>583</v>
      </c>
      <c r="C436" s="638">
        <v>307.6977</v>
      </c>
      <c r="D436" s="639" t="s">
        <v>584</v>
      </c>
      <c r="E436" s="655">
        <v>2424.87</v>
      </c>
      <c r="F436" s="641">
        <f t="shared" si="189"/>
        <v>746126.921799</v>
      </c>
      <c r="G436" s="632"/>
      <c r="H436" s="632">
        <f t="shared" si="185"/>
        <v>307.6977</v>
      </c>
      <c r="I436" s="642">
        <f t="shared" si="186"/>
        <v>307.6977</v>
      </c>
      <c r="J436" s="643">
        <f t="shared" si="187"/>
        <v>1</v>
      </c>
      <c r="K436" s="636"/>
      <c r="L436" s="636">
        <f t="shared" si="188"/>
        <v>746126.921799</v>
      </c>
      <c r="M436" s="636">
        <f t="shared" si="190"/>
        <v>746126.921799</v>
      </c>
    </row>
    <row r="437" spans="1:13">
      <c r="A437" s="637"/>
      <c r="B437" s="315"/>
      <c r="C437" s="638"/>
      <c r="D437" s="639"/>
      <c r="E437" s="655"/>
      <c r="F437" s="772">
        <f>+SUBTOTAL(9,F434:F436)</f>
        <v>787489.82468185714</v>
      </c>
      <c r="G437" s="632"/>
      <c r="H437" s="632"/>
      <c r="I437" s="642"/>
      <c r="J437" s="652"/>
      <c r="K437" s="657">
        <f>+SUBTOTAL(9,K434:K436)</f>
        <v>0</v>
      </c>
      <c r="L437" s="657">
        <f t="shared" ref="L437:M437" si="191">+SUBTOTAL(9,L434:L436)</f>
        <v>787489.82468185714</v>
      </c>
      <c r="M437" s="657">
        <f t="shared" si="191"/>
        <v>787489.82468185714</v>
      </c>
    </row>
    <row r="438" spans="1:13" s="779" customFormat="1">
      <c r="A438" s="628">
        <v>3</v>
      </c>
      <c r="B438" s="301" t="s">
        <v>585</v>
      </c>
      <c r="C438" s="774"/>
      <c r="D438" s="649"/>
      <c r="E438" s="775"/>
      <c r="F438" s="776"/>
      <c r="G438" s="777"/>
      <c r="H438" s="777"/>
      <c r="I438" s="780"/>
      <c r="J438" s="781"/>
      <c r="K438" s="778"/>
      <c r="L438" s="778"/>
      <c r="M438" s="778"/>
    </row>
    <row r="439" spans="1:13">
      <c r="A439" s="637">
        <v>3.01</v>
      </c>
      <c r="B439" s="315" t="s">
        <v>586</v>
      </c>
      <c r="C439" s="638">
        <v>4.8439999999999994</v>
      </c>
      <c r="D439" s="639" t="s">
        <v>38</v>
      </c>
      <c r="E439" s="655">
        <v>4359.4700000000057</v>
      </c>
      <c r="F439" s="641">
        <f t="shared" si="189"/>
        <v>21117.272680000024</v>
      </c>
      <c r="G439" s="632"/>
      <c r="H439" s="632">
        <f t="shared" si="185"/>
        <v>4.8439999999999994</v>
      </c>
      <c r="I439" s="642">
        <f t="shared" si="186"/>
        <v>4.8439999999999994</v>
      </c>
      <c r="J439" s="643">
        <f t="shared" si="187"/>
        <v>1</v>
      </c>
      <c r="K439" s="636"/>
      <c r="L439" s="636">
        <f t="shared" si="188"/>
        <v>21117.272680000024</v>
      </c>
      <c r="M439" s="636">
        <f t="shared" si="190"/>
        <v>21117.272680000024</v>
      </c>
    </row>
    <row r="440" spans="1:13">
      <c r="A440" s="637"/>
      <c r="B440" s="315"/>
      <c r="C440" s="638"/>
      <c r="D440" s="639"/>
      <c r="E440" s="655"/>
      <c r="F440" s="772">
        <f>+SUBTOTAL(9,F439)</f>
        <v>21117.272680000024</v>
      </c>
      <c r="G440" s="632"/>
      <c r="H440" s="632"/>
      <c r="I440" s="642"/>
      <c r="J440" s="652"/>
      <c r="K440" s="657">
        <f>+SUBTOTAL(9,K439)</f>
        <v>0</v>
      </c>
      <c r="L440" s="657">
        <f t="shared" ref="L440:M440" si="192">+SUBTOTAL(9,L439)</f>
        <v>21117.272680000024</v>
      </c>
      <c r="M440" s="657">
        <f t="shared" si="192"/>
        <v>21117.272680000024</v>
      </c>
    </row>
    <row r="441" spans="1:13" s="779" customFormat="1">
      <c r="A441" s="628" t="s">
        <v>185</v>
      </c>
      <c r="B441" s="301" t="s">
        <v>587</v>
      </c>
      <c r="C441" s="774"/>
      <c r="D441" s="649"/>
      <c r="E441" s="775"/>
      <c r="F441" s="776"/>
      <c r="G441" s="777"/>
      <c r="H441" s="632"/>
      <c r="I441" s="642"/>
      <c r="J441" s="643"/>
      <c r="K441" s="778"/>
      <c r="L441" s="636"/>
      <c r="M441" s="636"/>
    </row>
    <row r="442" spans="1:13">
      <c r="A442" s="637"/>
      <c r="B442" s="315"/>
      <c r="C442" s="638"/>
      <c r="D442" s="639"/>
      <c r="E442" s="655"/>
      <c r="F442" s="641"/>
      <c r="G442" s="632"/>
      <c r="H442" s="632"/>
      <c r="I442" s="642"/>
      <c r="J442" s="643"/>
      <c r="K442" s="636"/>
      <c r="L442" s="636"/>
      <c r="M442" s="636"/>
    </row>
    <row r="443" spans="1:13" s="779" customFormat="1">
      <c r="A443" s="628">
        <v>3</v>
      </c>
      <c r="B443" s="301" t="s">
        <v>597</v>
      </c>
      <c r="C443" s="774"/>
      <c r="D443" s="649"/>
      <c r="E443" s="775"/>
      <c r="F443" s="772"/>
      <c r="G443" s="777"/>
      <c r="H443" s="777"/>
      <c r="I443" s="780"/>
      <c r="J443" s="793"/>
      <c r="K443" s="657"/>
      <c r="L443" s="657"/>
      <c r="M443" s="657"/>
    </row>
    <row r="444" spans="1:13">
      <c r="A444" s="637">
        <v>3.01</v>
      </c>
      <c r="B444" s="315" t="s">
        <v>598</v>
      </c>
      <c r="C444" s="638">
        <v>397.072</v>
      </c>
      <c r="D444" s="639" t="s">
        <v>189</v>
      </c>
      <c r="E444" s="655">
        <v>44.699999999999996</v>
      </c>
      <c r="F444" s="641">
        <f t="shared" ref="F444:F446" si="193">+E444*C444</f>
        <v>17749.118399999999</v>
      </c>
      <c r="G444" s="632"/>
      <c r="H444" s="632">
        <f t="shared" ref="H444:H446" si="194">+C444</f>
        <v>397.072</v>
      </c>
      <c r="I444" s="642">
        <f t="shared" ref="I444:I446" si="195">+H444+G444</f>
        <v>397.072</v>
      </c>
      <c r="J444" s="643">
        <f t="shared" ref="J444:J446" si="196">I444/C444</f>
        <v>1</v>
      </c>
      <c r="K444" s="636"/>
      <c r="L444" s="636">
        <f t="shared" ref="L444:L446" si="197">+H444*E444</f>
        <v>17749.118399999999</v>
      </c>
      <c r="M444" s="636">
        <f t="shared" ref="M444:M446" si="198">K444+L444</f>
        <v>17749.118399999999</v>
      </c>
    </row>
    <row r="445" spans="1:13" ht="26.25">
      <c r="A445" s="637">
        <v>3.0199999999999996</v>
      </c>
      <c r="B445" s="315" t="s">
        <v>599</v>
      </c>
      <c r="C445" s="638">
        <v>178.44799999999998</v>
      </c>
      <c r="D445" s="639" t="s">
        <v>189</v>
      </c>
      <c r="E445" s="655">
        <v>297.64999999999998</v>
      </c>
      <c r="F445" s="641">
        <f t="shared" si="193"/>
        <v>53115.047199999986</v>
      </c>
      <c r="G445" s="632"/>
      <c r="H445" s="632">
        <f t="shared" si="194"/>
        <v>178.44799999999998</v>
      </c>
      <c r="I445" s="642">
        <f t="shared" si="195"/>
        <v>178.44799999999998</v>
      </c>
      <c r="J445" s="643">
        <f t="shared" si="196"/>
        <v>1</v>
      </c>
      <c r="K445" s="636"/>
      <c r="L445" s="636">
        <f t="shared" si="197"/>
        <v>53115.047199999986</v>
      </c>
      <c r="M445" s="636">
        <f t="shared" si="198"/>
        <v>53115.047199999986</v>
      </c>
    </row>
    <row r="446" spans="1:13">
      <c r="A446" s="637">
        <v>3.0299999999999994</v>
      </c>
      <c r="B446" s="315" t="s">
        <v>600</v>
      </c>
      <c r="C446" s="638">
        <v>12.308</v>
      </c>
      <c r="D446" s="639" t="s">
        <v>30</v>
      </c>
      <c r="E446" s="655">
        <v>156.08999999999995</v>
      </c>
      <c r="F446" s="641">
        <f t="shared" si="193"/>
        <v>1921.1557199999993</v>
      </c>
      <c r="G446" s="632"/>
      <c r="H446" s="632">
        <f t="shared" si="194"/>
        <v>12.308</v>
      </c>
      <c r="I446" s="642">
        <f t="shared" si="195"/>
        <v>12.308</v>
      </c>
      <c r="J446" s="643">
        <f t="shared" si="196"/>
        <v>1</v>
      </c>
      <c r="K446" s="636"/>
      <c r="L446" s="636">
        <f t="shared" si="197"/>
        <v>1921.1557199999993</v>
      </c>
      <c r="M446" s="636">
        <f t="shared" si="198"/>
        <v>1921.1557199999993</v>
      </c>
    </row>
    <row r="447" spans="1:13">
      <c r="A447" s="637"/>
      <c r="B447" s="315"/>
      <c r="C447" s="638"/>
      <c r="D447" s="639"/>
      <c r="E447" s="655"/>
      <c r="F447" s="772">
        <f>+SUBTOTAL(9,F444:F446)</f>
        <v>72785.321319999974</v>
      </c>
      <c r="G447" s="632"/>
      <c r="H447" s="632"/>
      <c r="I447" s="642"/>
      <c r="J447" s="652"/>
      <c r="K447" s="657">
        <f>+SUBTOTAL(9,K444:K446)</f>
        <v>0</v>
      </c>
      <c r="L447" s="657">
        <f t="shared" ref="L447:M447" si="199">+SUBTOTAL(9,L444:L446)</f>
        <v>72785.321319999974</v>
      </c>
      <c r="M447" s="657">
        <f t="shared" si="199"/>
        <v>72785.321319999974</v>
      </c>
    </row>
    <row r="448" spans="1:13" s="779" customFormat="1">
      <c r="A448" s="628">
        <v>4</v>
      </c>
      <c r="B448" s="301" t="s">
        <v>675</v>
      </c>
      <c r="C448" s="774"/>
      <c r="D448" s="649"/>
      <c r="E448" s="775"/>
      <c r="F448" s="772"/>
      <c r="G448" s="777"/>
      <c r="H448" s="777"/>
      <c r="I448" s="780"/>
      <c r="J448" s="793"/>
      <c r="K448" s="657"/>
      <c r="L448" s="657"/>
      <c r="M448" s="657"/>
    </row>
    <row r="449" spans="1:13">
      <c r="A449" s="637">
        <v>4.01</v>
      </c>
      <c r="B449" s="315" t="s">
        <v>676</v>
      </c>
      <c r="C449" s="638">
        <v>16</v>
      </c>
      <c r="D449" s="639" t="s">
        <v>189</v>
      </c>
      <c r="E449" s="655">
        <v>4567.0950000000003</v>
      </c>
      <c r="F449" s="641">
        <f>+E449*C449</f>
        <v>73073.52</v>
      </c>
      <c r="G449" s="632"/>
      <c r="H449" s="632">
        <f t="shared" ref="H449:H454" si="200">+C449</f>
        <v>16</v>
      </c>
      <c r="I449" s="642">
        <f t="shared" ref="I449:I454" si="201">+H449+G449</f>
        <v>16</v>
      </c>
      <c r="J449" s="643">
        <f t="shared" ref="J449:J454" si="202">I449/C449</f>
        <v>1</v>
      </c>
      <c r="K449" s="636"/>
      <c r="L449" s="636">
        <f t="shared" ref="L449:L454" si="203">+H449*E449</f>
        <v>73073.52</v>
      </c>
      <c r="M449" s="636">
        <f t="shared" ref="M449:M454" si="204">K449+L449</f>
        <v>73073.52</v>
      </c>
    </row>
    <row r="450" spans="1:13">
      <c r="A450" s="637">
        <v>4.0199999999999996</v>
      </c>
      <c r="B450" s="315" t="s">
        <v>603</v>
      </c>
      <c r="C450" s="638">
        <v>1.3</v>
      </c>
      <c r="D450" s="639" t="s">
        <v>189</v>
      </c>
      <c r="E450" s="655">
        <v>4617.0950000000003</v>
      </c>
      <c r="F450" s="641">
        <f>+E450*C450</f>
        <v>6002.223500000001</v>
      </c>
      <c r="G450" s="632"/>
      <c r="H450" s="632">
        <f t="shared" si="200"/>
        <v>1.3</v>
      </c>
      <c r="I450" s="642">
        <f t="shared" si="201"/>
        <v>1.3</v>
      </c>
      <c r="J450" s="643">
        <f t="shared" si="202"/>
        <v>1</v>
      </c>
      <c r="K450" s="636"/>
      <c r="L450" s="636">
        <f t="shared" si="203"/>
        <v>6002.223500000001</v>
      </c>
      <c r="M450" s="636">
        <f t="shared" si="204"/>
        <v>6002.223500000001</v>
      </c>
    </row>
    <row r="451" spans="1:13">
      <c r="A451" s="637">
        <v>4.0299999999999994</v>
      </c>
      <c r="B451" s="315" t="s">
        <v>604</v>
      </c>
      <c r="C451" s="638">
        <v>129.16499999999999</v>
      </c>
      <c r="D451" s="639" t="s">
        <v>605</v>
      </c>
      <c r="E451" s="655">
        <v>649</v>
      </c>
      <c r="F451" s="641">
        <f t="shared" ref="F451:F454" si="205">+E451*C451</f>
        <v>83828.084999999992</v>
      </c>
      <c r="G451" s="632"/>
      <c r="H451" s="632">
        <f t="shared" si="200"/>
        <v>129.16499999999999</v>
      </c>
      <c r="I451" s="642">
        <f t="shared" si="201"/>
        <v>129.16499999999999</v>
      </c>
      <c r="J451" s="643">
        <f t="shared" si="202"/>
        <v>1</v>
      </c>
      <c r="K451" s="636"/>
      <c r="L451" s="636">
        <f t="shared" si="203"/>
        <v>83828.084999999992</v>
      </c>
      <c r="M451" s="636">
        <f t="shared" si="204"/>
        <v>83828.084999999992</v>
      </c>
    </row>
    <row r="452" spans="1:13">
      <c r="A452" s="637">
        <v>4.0399999999999991</v>
      </c>
      <c r="B452" s="315" t="s">
        <v>606</v>
      </c>
      <c r="C452" s="638">
        <v>9</v>
      </c>
      <c r="D452" s="639" t="s">
        <v>189</v>
      </c>
      <c r="E452" s="655">
        <v>6983.24</v>
      </c>
      <c r="F452" s="641">
        <f t="shared" si="205"/>
        <v>62849.159999999996</v>
      </c>
      <c r="G452" s="632"/>
      <c r="H452" s="632">
        <f t="shared" si="200"/>
        <v>9</v>
      </c>
      <c r="I452" s="642">
        <f t="shared" si="201"/>
        <v>9</v>
      </c>
      <c r="J452" s="643">
        <f t="shared" si="202"/>
        <v>1</v>
      </c>
      <c r="K452" s="636"/>
      <c r="L452" s="636">
        <f t="shared" si="203"/>
        <v>62849.159999999996</v>
      </c>
      <c r="M452" s="636">
        <f t="shared" si="204"/>
        <v>62849.159999999996</v>
      </c>
    </row>
    <row r="453" spans="1:13">
      <c r="A453" s="637">
        <v>4.0499999999999989</v>
      </c>
      <c r="B453" s="315" t="s">
        <v>607</v>
      </c>
      <c r="C453" s="638">
        <v>139.5</v>
      </c>
      <c r="D453" s="639" t="s">
        <v>189</v>
      </c>
      <c r="E453" s="655">
        <v>798.38811383928521</v>
      </c>
      <c r="F453" s="641">
        <f t="shared" si="205"/>
        <v>111375.14188058028</v>
      </c>
      <c r="G453" s="632"/>
      <c r="H453" s="632">
        <f t="shared" si="200"/>
        <v>139.5</v>
      </c>
      <c r="I453" s="642">
        <f t="shared" si="201"/>
        <v>139.5</v>
      </c>
      <c r="J453" s="643">
        <f t="shared" si="202"/>
        <v>1</v>
      </c>
      <c r="K453" s="636"/>
      <c r="L453" s="636">
        <f t="shared" si="203"/>
        <v>111375.14188058028</v>
      </c>
      <c r="M453" s="636">
        <f t="shared" si="204"/>
        <v>111375.14188058028</v>
      </c>
    </row>
    <row r="454" spans="1:13">
      <c r="A454" s="637">
        <v>4.0599999999999987</v>
      </c>
      <c r="B454" s="315" t="s">
        <v>608</v>
      </c>
      <c r="C454" s="638">
        <v>17.5</v>
      </c>
      <c r="D454" s="639" t="s">
        <v>189</v>
      </c>
      <c r="E454" s="655">
        <v>145.2730241672111</v>
      </c>
      <c r="F454" s="641">
        <f t="shared" si="205"/>
        <v>2542.2779229261942</v>
      </c>
      <c r="G454" s="632"/>
      <c r="H454" s="632">
        <f t="shared" si="200"/>
        <v>17.5</v>
      </c>
      <c r="I454" s="642">
        <f t="shared" si="201"/>
        <v>17.5</v>
      </c>
      <c r="J454" s="643">
        <f t="shared" si="202"/>
        <v>1</v>
      </c>
      <c r="K454" s="636"/>
      <c r="L454" s="636">
        <f t="shared" si="203"/>
        <v>2542.2779229261942</v>
      </c>
      <c r="M454" s="636">
        <f t="shared" si="204"/>
        <v>2542.2779229261942</v>
      </c>
    </row>
    <row r="455" spans="1:13">
      <c r="A455" s="637"/>
      <c r="B455" s="315"/>
      <c r="C455" s="638"/>
      <c r="D455" s="639"/>
      <c r="E455" s="655"/>
      <c r="F455" s="772">
        <f>+SUBTOTAL(9,F449:F454)</f>
        <v>339670.4083035065</v>
      </c>
      <c r="G455" s="632"/>
      <c r="H455" s="632"/>
      <c r="I455" s="642"/>
      <c r="J455" s="652"/>
      <c r="K455" s="657">
        <f>+SUBTOTAL(9,K449:K454)</f>
        <v>0</v>
      </c>
      <c r="L455" s="657">
        <f t="shared" ref="L455:M455" si="206">+SUBTOTAL(9,L449:L454)</f>
        <v>339670.4083035065</v>
      </c>
      <c r="M455" s="657">
        <f t="shared" si="206"/>
        <v>339670.4083035065</v>
      </c>
    </row>
    <row r="456" spans="1:13" s="779" customFormat="1">
      <c r="A456" s="628">
        <v>5</v>
      </c>
      <c r="B456" s="301" t="s">
        <v>609</v>
      </c>
      <c r="C456" s="774"/>
      <c r="D456" s="649"/>
      <c r="E456" s="775"/>
      <c r="F456" s="776"/>
      <c r="G456" s="777"/>
      <c r="H456" s="777"/>
      <c r="I456" s="780"/>
      <c r="J456" s="781"/>
      <c r="K456" s="778"/>
      <c r="L456" s="778"/>
      <c r="M456" s="778"/>
    </row>
    <row r="457" spans="1:13">
      <c r="A457" s="637">
        <v>5.01</v>
      </c>
      <c r="B457" s="315" t="s">
        <v>610</v>
      </c>
      <c r="C457" s="638">
        <v>250</v>
      </c>
      <c r="D457" s="639" t="s">
        <v>189</v>
      </c>
      <c r="E457" s="655">
        <v>4565.335</v>
      </c>
      <c r="F457" s="641">
        <f t="shared" ref="F457:F464" si="207">+E457*C457</f>
        <v>1141333.75</v>
      </c>
      <c r="G457" s="632"/>
      <c r="H457" s="632">
        <f t="shared" ref="H457:H464" si="208">+C457</f>
        <v>250</v>
      </c>
      <c r="I457" s="642">
        <f t="shared" ref="I457:I464" si="209">+H457+G457</f>
        <v>250</v>
      </c>
      <c r="J457" s="643">
        <f t="shared" ref="J457:J464" si="210">I457/C457</f>
        <v>1</v>
      </c>
      <c r="K457" s="636"/>
      <c r="L457" s="636">
        <f t="shared" ref="L457:L464" si="211">+H457*E457</f>
        <v>1141333.75</v>
      </c>
      <c r="M457" s="636">
        <f t="shared" ref="M457:M464" si="212">K457+L457</f>
        <v>1141333.75</v>
      </c>
    </row>
    <row r="458" spans="1:13">
      <c r="A458" s="637">
        <v>5.0199999999999996</v>
      </c>
      <c r="B458" s="315" t="s">
        <v>611</v>
      </c>
      <c r="C458" s="638">
        <v>120</v>
      </c>
      <c r="D458" s="639" t="s">
        <v>30</v>
      </c>
      <c r="E458" s="655">
        <v>554.64480000000003</v>
      </c>
      <c r="F458" s="641">
        <f t="shared" si="207"/>
        <v>66557.376000000004</v>
      </c>
      <c r="G458" s="632"/>
      <c r="H458" s="632">
        <f t="shared" si="208"/>
        <v>120</v>
      </c>
      <c r="I458" s="642">
        <f t="shared" si="209"/>
        <v>120</v>
      </c>
      <c r="J458" s="643">
        <f t="shared" si="210"/>
        <v>1</v>
      </c>
      <c r="K458" s="636"/>
      <c r="L458" s="636">
        <f t="shared" si="211"/>
        <v>66557.376000000004</v>
      </c>
      <c r="M458" s="636">
        <f t="shared" si="212"/>
        <v>66557.376000000004</v>
      </c>
    </row>
    <row r="459" spans="1:13">
      <c r="A459" s="637">
        <v>5.0299999999999994</v>
      </c>
      <c r="B459" s="315" t="s">
        <v>677</v>
      </c>
      <c r="C459" s="638">
        <v>17.5</v>
      </c>
      <c r="D459" s="639" t="s">
        <v>189</v>
      </c>
      <c r="E459" s="655">
        <v>4417.415</v>
      </c>
      <c r="F459" s="641">
        <f t="shared" si="207"/>
        <v>77304.762499999997</v>
      </c>
      <c r="G459" s="632"/>
      <c r="H459" s="632">
        <f t="shared" si="208"/>
        <v>17.5</v>
      </c>
      <c r="I459" s="642">
        <f t="shared" si="209"/>
        <v>17.5</v>
      </c>
      <c r="J459" s="643">
        <f t="shared" si="210"/>
        <v>1</v>
      </c>
      <c r="K459" s="636"/>
      <c r="L459" s="636">
        <f t="shared" si="211"/>
        <v>77304.762499999997</v>
      </c>
      <c r="M459" s="636">
        <f t="shared" si="212"/>
        <v>77304.762499999997</v>
      </c>
    </row>
    <row r="460" spans="1:13">
      <c r="A460" s="637"/>
      <c r="B460" s="315"/>
      <c r="C460" s="638"/>
      <c r="D460" s="639"/>
      <c r="E460" s="655"/>
      <c r="F460" s="772">
        <f>+SUBTOTAL(9,F457:F459)</f>
        <v>1285195.8884999999</v>
      </c>
      <c r="G460" s="632"/>
      <c r="H460" s="632"/>
      <c r="I460" s="642"/>
      <c r="J460" s="652"/>
      <c r="K460" s="657">
        <f>+SUBTOTAL(9,K457:K459)</f>
        <v>0</v>
      </c>
      <c r="L460" s="657">
        <f t="shared" ref="L460:M460" si="213">+SUBTOTAL(9,L457:L459)</f>
        <v>1285195.8884999999</v>
      </c>
      <c r="M460" s="657">
        <f t="shared" si="213"/>
        <v>1285195.8884999999</v>
      </c>
    </row>
    <row r="461" spans="1:13" s="779" customFormat="1">
      <c r="A461" s="628">
        <v>6</v>
      </c>
      <c r="B461" s="301" t="s">
        <v>613</v>
      </c>
      <c r="C461" s="774"/>
      <c r="D461" s="649"/>
      <c r="E461" s="775"/>
      <c r="F461" s="776"/>
      <c r="G461" s="777"/>
      <c r="H461" s="777"/>
      <c r="I461" s="780"/>
      <c r="J461" s="781"/>
      <c r="K461" s="778"/>
      <c r="L461" s="778"/>
      <c r="M461" s="778"/>
    </row>
    <row r="462" spans="1:13" ht="26.25">
      <c r="A462" s="637">
        <v>6.01</v>
      </c>
      <c r="B462" s="315" t="s">
        <v>614</v>
      </c>
      <c r="C462" s="638">
        <v>1</v>
      </c>
      <c r="D462" s="639" t="s">
        <v>32</v>
      </c>
      <c r="E462" s="655">
        <v>49140.664499999977</v>
      </c>
      <c r="F462" s="641">
        <f t="shared" si="207"/>
        <v>49140.664499999977</v>
      </c>
      <c r="G462" s="632"/>
      <c r="H462" s="632">
        <f t="shared" si="208"/>
        <v>1</v>
      </c>
      <c r="I462" s="642">
        <f t="shared" si="209"/>
        <v>1</v>
      </c>
      <c r="J462" s="643">
        <f t="shared" si="210"/>
        <v>1</v>
      </c>
      <c r="K462" s="636"/>
      <c r="L462" s="636">
        <f t="shared" si="211"/>
        <v>49140.664499999977</v>
      </c>
      <c r="M462" s="636">
        <f t="shared" si="212"/>
        <v>49140.664499999977</v>
      </c>
    </row>
    <row r="463" spans="1:13">
      <c r="A463" s="637">
        <v>6.02</v>
      </c>
      <c r="B463" s="315" t="s">
        <v>678</v>
      </c>
      <c r="C463" s="638">
        <v>2</v>
      </c>
      <c r="D463" s="639" t="s">
        <v>32</v>
      </c>
      <c r="E463" s="655">
        <v>11151.356099999997</v>
      </c>
      <c r="F463" s="641">
        <f t="shared" si="207"/>
        <v>22302.712199999994</v>
      </c>
      <c r="G463" s="632"/>
      <c r="H463" s="632">
        <f t="shared" si="208"/>
        <v>2</v>
      </c>
      <c r="I463" s="642">
        <f t="shared" si="209"/>
        <v>2</v>
      </c>
      <c r="J463" s="643">
        <f t="shared" si="210"/>
        <v>1</v>
      </c>
      <c r="K463" s="636"/>
      <c r="L463" s="636">
        <f t="shared" si="211"/>
        <v>22302.712199999994</v>
      </c>
      <c r="M463" s="636">
        <f t="shared" si="212"/>
        <v>22302.712199999994</v>
      </c>
    </row>
    <row r="464" spans="1:13">
      <c r="A464" s="637">
        <v>6.0299999999999994</v>
      </c>
      <c r="B464" s="315" t="s">
        <v>679</v>
      </c>
      <c r="C464" s="638">
        <v>2</v>
      </c>
      <c r="D464" s="639" t="s">
        <v>32</v>
      </c>
      <c r="E464" s="655">
        <v>21224.215700000001</v>
      </c>
      <c r="F464" s="641">
        <f t="shared" si="207"/>
        <v>42448.431400000001</v>
      </c>
      <c r="G464" s="632"/>
      <c r="H464" s="632">
        <f t="shared" si="208"/>
        <v>2</v>
      </c>
      <c r="I464" s="642">
        <f t="shared" si="209"/>
        <v>2</v>
      </c>
      <c r="J464" s="643">
        <f t="shared" si="210"/>
        <v>1</v>
      </c>
      <c r="K464" s="636"/>
      <c r="L464" s="636">
        <f t="shared" si="211"/>
        <v>42448.431400000001</v>
      </c>
      <c r="M464" s="636">
        <f t="shared" si="212"/>
        <v>42448.431400000001</v>
      </c>
    </row>
    <row r="465" spans="1:13" s="779" customFormat="1">
      <c r="A465" s="628"/>
      <c r="B465" s="301"/>
      <c r="C465" s="774"/>
      <c r="D465" s="649"/>
      <c r="E465" s="775"/>
      <c r="F465" s="772">
        <f>+SUBTOTAL(9,F462:F464)</f>
        <v>113891.80809999997</v>
      </c>
      <c r="G465" s="632"/>
      <c r="H465" s="632"/>
      <c r="I465" s="642"/>
      <c r="J465" s="652"/>
      <c r="K465" s="657">
        <f>+SUBTOTAL(9,K462:K464)</f>
        <v>0</v>
      </c>
      <c r="L465" s="657">
        <f t="shared" ref="L465:M465" si="214">+SUBTOTAL(9,L462:L464)</f>
        <v>113891.80809999997</v>
      </c>
      <c r="M465" s="657">
        <f t="shared" si="214"/>
        <v>113891.80809999997</v>
      </c>
    </row>
    <row r="466" spans="1:13" s="779" customFormat="1">
      <c r="A466" s="628">
        <v>10</v>
      </c>
      <c r="B466" s="301" t="s">
        <v>623</v>
      </c>
      <c r="C466" s="774"/>
      <c r="D466" s="649"/>
      <c r="E466" s="775"/>
      <c r="F466" s="776"/>
      <c r="G466" s="777"/>
      <c r="H466" s="777"/>
      <c r="I466" s="780"/>
      <c r="J466" s="781"/>
      <c r="K466" s="778"/>
      <c r="L466" s="778"/>
      <c r="M466" s="778"/>
    </row>
    <row r="467" spans="1:13">
      <c r="A467" s="637">
        <v>10.01</v>
      </c>
      <c r="B467" s="315" t="s">
        <v>624</v>
      </c>
      <c r="C467" s="638"/>
      <c r="D467" s="639"/>
      <c r="E467" s="655"/>
      <c r="F467" s="641"/>
      <c r="G467" s="632"/>
      <c r="H467" s="632"/>
      <c r="I467" s="642"/>
      <c r="J467" s="643"/>
      <c r="K467" s="636"/>
      <c r="L467" s="636"/>
      <c r="M467" s="636"/>
    </row>
    <row r="468" spans="1:13">
      <c r="A468" s="637" t="s">
        <v>680</v>
      </c>
      <c r="B468" s="315" t="s">
        <v>629</v>
      </c>
      <c r="C468" s="638">
        <v>1</v>
      </c>
      <c r="D468" s="639" t="s">
        <v>32</v>
      </c>
      <c r="E468" s="655">
        <v>7155.7100000000009</v>
      </c>
      <c r="F468" s="641">
        <f t="shared" ref="F468:F470" si="215">+E468*C468</f>
        <v>7155.7100000000009</v>
      </c>
      <c r="G468" s="632"/>
      <c r="H468" s="632">
        <f t="shared" ref="H468:H470" si="216">+C468</f>
        <v>1</v>
      </c>
      <c r="I468" s="642">
        <f t="shared" ref="I468:I470" si="217">+H468+G468</f>
        <v>1</v>
      </c>
      <c r="J468" s="643">
        <f t="shared" ref="J468:J470" si="218">I468/C468</f>
        <v>1</v>
      </c>
      <c r="K468" s="636"/>
      <c r="L468" s="636">
        <f t="shared" ref="L468:L470" si="219">+H468*E468</f>
        <v>7155.7100000000009</v>
      </c>
      <c r="M468" s="636">
        <f t="shared" ref="M468:M470" si="220">K468+L468</f>
        <v>7155.7100000000009</v>
      </c>
    </row>
    <row r="469" spans="1:13">
      <c r="A469" s="637" t="s">
        <v>681</v>
      </c>
      <c r="B469" s="315" t="s">
        <v>630</v>
      </c>
      <c r="C469" s="638">
        <v>0.5</v>
      </c>
      <c r="D469" s="639" t="s">
        <v>32</v>
      </c>
      <c r="E469" s="655">
        <v>3587.6000000000004</v>
      </c>
      <c r="F469" s="641">
        <f t="shared" si="215"/>
        <v>1793.8000000000002</v>
      </c>
      <c r="G469" s="632"/>
      <c r="H469" s="632">
        <f t="shared" si="216"/>
        <v>0.5</v>
      </c>
      <c r="I469" s="642">
        <f t="shared" si="217"/>
        <v>0.5</v>
      </c>
      <c r="J469" s="643">
        <f t="shared" si="218"/>
        <v>1</v>
      </c>
      <c r="K469" s="636"/>
      <c r="L469" s="636">
        <f t="shared" si="219"/>
        <v>1793.8000000000002</v>
      </c>
      <c r="M469" s="636">
        <f t="shared" si="220"/>
        <v>1793.8000000000002</v>
      </c>
    </row>
    <row r="470" spans="1:13">
      <c r="A470" s="637" t="s">
        <v>681</v>
      </c>
      <c r="B470" s="315" t="s">
        <v>631</v>
      </c>
      <c r="C470" s="638">
        <v>0.5</v>
      </c>
      <c r="D470" s="639" t="s">
        <v>88</v>
      </c>
      <c r="E470" s="655">
        <v>112800</v>
      </c>
      <c r="F470" s="641">
        <f t="shared" si="215"/>
        <v>56400</v>
      </c>
      <c r="G470" s="632"/>
      <c r="H470" s="632">
        <f t="shared" si="216"/>
        <v>0.5</v>
      </c>
      <c r="I470" s="642">
        <f t="shared" si="217"/>
        <v>0.5</v>
      </c>
      <c r="J470" s="643">
        <f t="shared" si="218"/>
        <v>1</v>
      </c>
      <c r="K470" s="636"/>
      <c r="L470" s="636">
        <f t="shared" si="219"/>
        <v>56400</v>
      </c>
      <c r="M470" s="636">
        <f t="shared" si="220"/>
        <v>56400</v>
      </c>
    </row>
    <row r="471" spans="1:13">
      <c r="A471" s="637">
        <v>10.02</v>
      </c>
      <c r="B471" s="315" t="s">
        <v>632</v>
      </c>
      <c r="C471" s="638"/>
      <c r="D471" s="639"/>
      <c r="E471" s="655"/>
      <c r="F471" s="641"/>
      <c r="G471" s="632"/>
      <c r="H471" s="632"/>
      <c r="I471" s="642"/>
      <c r="J471" s="643"/>
      <c r="K471" s="636"/>
      <c r="L471" s="636"/>
      <c r="M471" s="636"/>
    </row>
    <row r="472" spans="1:13">
      <c r="A472" s="637" t="s">
        <v>682</v>
      </c>
      <c r="B472" s="315" t="s">
        <v>633</v>
      </c>
      <c r="C472" s="638">
        <v>5</v>
      </c>
      <c r="D472" s="639" t="s">
        <v>353</v>
      </c>
      <c r="E472" s="655">
        <v>2195.0039999999999</v>
      </c>
      <c r="F472" s="641">
        <f t="shared" ref="F472:F473" si="221">+E472*C472</f>
        <v>10975.02</v>
      </c>
      <c r="G472" s="632"/>
      <c r="H472" s="632">
        <f t="shared" ref="H472:H476" si="222">+C472</f>
        <v>5</v>
      </c>
      <c r="I472" s="642">
        <f t="shared" ref="I472:I476" si="223">+H472+G472</f>
        <v>5</v>
      </c>
      <c r="J472" s="643">
        <f t="shared" ref="J472:J476" si="224">I472/C472</f>
        <v>1</v>
      </c>
      <c r="K472" s="636"/>
      <c r="L472" s="636">
        <f t="shared" ref="L472:L476" si="225">+H472*E472</f>
        <v>10975.02</v>
      </c>
      <c r="M472" s="636">
        <f t="shared" ref="M472:M476" si="226">K472+L472</f>
        <v>10975.02</v>
      </c>
    </row>
    <row r="473" spans="1:13">
      <c r="A473" s="637" t="s">
        <v>683</v>
      </c>
      <c r="B473" s="315" t="s">
        <v>625</v>
      </c>
      <c r="C473" s="638">
        <v>0.6</v>
      </c>
      <c r="D473" s="639" t="s">
        <v>189</v>
      </c>
      <c r="E473" s="655">
        <v>2142.8600000000006</v>
      </c>
      <c r="F473" s="641">
        <f t="shared" si="221"/>
        <v>1285.7160000000003</v>
      </c>
      <c r="G473" s="632"/>
      <c r="H473" s="632">
        <f t="shared" si="222"/>
        <v>0.6</v>
      </c>
      <c r="I473" s="642">
        <f t="shared" si="223"/>
        <v>0.6</v>
      </c>
      <c r="J473" s="643">
        <f t="shared" si="224"/>
        <v>1</v>
      </c>
      <c r="K473" s="636"/>
      <c r="L473" s="636">
        <f t="shared" si="225"/>
        <v>1285.7160000000003</v>
      </c>
      <c r="M473" s="636">
        <f t="shared" si="226"/>
        <v>1285.7160000000003</v>
      </c>
    </row>
    <row r="474" spans="1:13">
      <c r="A474" s="637" t="s">
        <v>684</v>
      </c>
      <c r="B474" s="315" t="s">
        <v>634</v>
      </c>
      <c r="C474" s="638">
        <v>0.5</v>
      </c>
      <c r="D474" s="639" t="s">
        <v>32</v>
      </c>
      <c r="E474" s="655">
        <v>4275.0400000000009</v>
      </c>
      <c r="F474" s="641">
        <f>+E474*C474</f>
        <v>2137.5200000000004</v>
      </c>
      <c r="G474" s="632"/>
      <c r="H474" s="632">
        <f t="shared" si="222"/>
        <v>0.5</v>
      </c>
      <c r="I474" s="642">
        <f t="shared" si="223"/>
        <v>0.5</v>
      </c>
      <c r="J474" s="643">
        <f t="shared" si="224"/>
        <v>1</v>
      </c>
      <c r="K474" s="636"/>
      <c r="L474" s="636">
        <f t="shared" si="225"/>
        <v>2137.5200000000004</v>
      </c>
      <c r="M474" s="636">
        <f t="shared" si="226"/>
        <v>2137.5200000000004</v>
      </c>
    </row>
    <row r="475" spans="1:13">
      <c r="A475" s="637" t="s">
        <v>685</v>
      </c>
      <c r="B475" s="315" t="s">
        <v>630</v>
      </c>
      <c r="C475" s="638">
        <v>0.5</v>
      </c>
      <c r="D475" s="639" t="s">
        <v>32</v>
      </c>
      <c r="E475" s="655">
        <v>3601.3700000000008</v>
      </c>
      <c r="F475" s="641">
        <f t="shared" ref="F475:F476" si="227">+E475*C475</f>
        <v>1800.6850000000004</v>
      </c>
      <c r="G475" s="632"/>
      <c r="H475" s="632">
        <f t="shared" si="222"/>
        <v>0.5</v>
      </c>
      <c r="I475" s="642">
        <f t="shared" si="223"/>
        <v>0.5</v>
      </c>
      <c r="J475" s="643">
        <f t="shared" si="224"/>
        <v>1</v>
      </c>
      <c r="K475" s="636"/>
      <c r="L475" s="636">
        <f t="shared" si="225"/>
        <v>1800.6850000000004</v>
      </c>
      <c r="M475" s="636">
        <f t="shared" si="226"/>
        <v>1800.6850000000004</v>
      </c>
    </row>
    <row r="476" spans="1:13">
      <c r="A476" s="637" t="s">
        <v>686</v>
      </c>
      <c r="B476" s="315" t="s">
        <v>635</v>
      </c>
      <c r="C476" s="638">
        <v>0.5</v>
      </c>
      <c r="D476" s="639" t="s">
        <v>32</v>
      </c>
      <c r="E476" s="655">
        <v>4272.6600000000017</v>
      </c>
      <c r="F476" s="641">
        <f t="shared" si="227"/>
        <v>2136.3300000000008</v>
      </c>
      <c r="G476" s="632"/>
      <c r="H476" s="632">
        <f t="shared" si="222"/>
        <v>0.5</v>
      </c>
      <c r="I476" s="642">
        <f t="shared" si="223"/>
        <v>0.5</v>
      </c>
      <c r="J476" s="643">
        <f t="shared" si="224"/>
        <v>1</v>
      </c>
      <c r="K476" s="636"/>
      <c r="L476" s="636">
        <f t="shared" si="225"/>
        <v>2136.3300000000008</v>
      </c>
      <c r="M476" s="636">
        <f t="shared" si="226"/>
        <v>2136.3300000000008</v>
      </c>
    </row>
    <row r="477" spans="1:13">
      <c r="A477" s="637"/>
      <c r="B477" s="315"/>
      <c r="C477" s="638"/>
      <c r="D477" s="639"/>
      <c r="E477" s="655"/>
      <c r="F477" s="772">
        <f>+SUBTOTAL(9,F468:F476)</f>
        <v>83684.781000000003</v>
      </c>
      <c r="G477" s="632"/>
      <c r="H477" s="632"/>
      <c r="I477" s="642"/>
      <c r="J477" s="652"/>
      <c r="K477" s="657">
        <f>+SUBTOTAL(9,K468:K476)</f>
        <v>0</v>
      </c>
      <c r="L477" s="657">
        <f t="shared" ref="L477:M477" si="228">+SUBTOTAL(9,L468:L476)</f>
        <v>83684.781000000003</v>
      </c>
      <c r="M477" s="657">
        <f t="shared" si="228"/>
        <v>83684.781000000003</v>
      </c>
    </row>
    <row r="478" spans="1:13" s="779" customFormat="1">
      <c r="A478" s="628" t="s">
        <v>195</v>
      </c>
      <c r="B478" s="301" t="s">
        <v>646</v>
      </c>
      <c r="C478" s="774"/>
      <c r="D478" s="649"/>
      <c r="E478" s="775"/>
      <c r="F478" s="776"/>
      <c r="G478" s="777"/>
      <c r="H478" s="777"/>
      <c r="I478" s="780"/>
      <c r="J478" s="781"/>
      <c r="K478" s="778"/>
      <c r="L478" s="778"/>
      <c r="M478" s="778"/>
    </row>
    <row r="479" spans="1:13">
      <c r="A479" s="637">
        <v>1</v>
      </c>
      <c r="B479" s="315" t="s">
        <v>585</v>
      </c>
      <c r="C479" s="638"/>
      <c r="D479" s="639"/>
      <c r="E479" s="655"/>
      <c r="F479" s="641"/>
      <c r="G479" s="632"/>
      <c r="H479" s="632"/>
      <c r="I479" s="642"/>
      <c r="J479" s="643"/>
      <c r="K479" s="636"/>
      <c r="L479" s="636"/>
      <c r="M479" s="636"/>
    </row>
    <row r="480" spans="1:13">
      <c r="A480" s="637">
        <v>1.03</v>
      </c>
      <c r="B480" s="315" t="s">
        <v>591</v>
      </c>
      <c r="C480" s="638">
        <v>7.0500000000000007</v>
      </c>
      <c r="D480" s="639" t="s">
        <v>38</v>
      </c>
      <c r="E480" s="655">
        <v>9398.9800000000087</v>
      </c>
      <c r="F480" s="641">
        <f t="shared" ref="F480:F482" si="229">+E480*C480</f>
        <v>66262.809000000067</v>
      </c>
      <c r="G480" s="632"/>
      <c r="H480" s="632">
        <f t="shared" ref="H480:H482" si="230">+C480</f>
        <v>7.0500000000000007</v>
      </c>
      <c r="I480" s="642">
        <f t="shared" ref="I480:I482" si="231">+H480+G480</f>
        <v>7.0500000000000007</v>
      </c>
      <c r="J480" s="643">
        <f t="shared" ref="J480:J482" si="232">I480/C480</f>
        <v>1</v>
      </c>
      <c r="K480" s="636"/>
      <c r="L480" s="636">
        <f t="shared" ref="L480:L482" si="233">+H480*E480</f>
        <v>66262.809000000067</v>
      </c>
      <c r="M480" s="636">
        <f t="shared" ref="M480:M482" si="234">K480+L480</f>
        <v>66262.809000000067</v>
      </c>
    </row>
    <row r="481" spans="1:13">
      <c r="A481" s="637">
        <v>1.04</v>
      </c>
      <c r="B481" s="315" t="s">
        <v>592</v>
      </c>
      <c r="C481" s="638">
        <v>1.1800040000000005</v>
      </c>
      <c r="D481" s="639" t="s">
        <v>38</v>
      </c>
      <c r="E481" s="655">
        <v>10807.940000000008</v>
      </c>
      <c r="F481" s="641">
        <f t="shared" si="229"/>
        <v>12753.412431760014</v>
      </c>
      <c r="G481" s="632"/>
      <c r="H481" s="632">
        <f t="shared" si="230"/>
        <v>1.1800040000000005</v>
      </c>
      <c r="I481" s="642">
        <f t="shared" si="231"/>
        <v>1.1800040000000005</v>
      </c>
      <c r="J481" s="643">
        <f t="shared" si="232"/>
        <v>1</v>
      </c>
      <c r="K481" s="636"/>
      <c r="L481" s="636">
        <f t="shared" si="233"/>
        <v>12753.412431760014</v>
      </c>
      <c r="M481" s="636">
        <f t="shared" si="234"/>
        <v>12753.412431760014</v>
      </c>
    </row>
    <row r="482" spans="1:13">
      <c r="A482" s="637">
        <v>1.05</v>
      </c>
      <c r="B482" s="315" t="s">
        <v>594</v>
      </c>
      <c r="C482" s="638">
        <v>19.470000000000006</v>
      </c>
      <c r="D482" s="639" t="s">
        <v>38</v>
      </c>
      <c r="E482" s="655">
        <v>8570.615443342891</v>
      </c>
      <c r="F482" s="641">
        <f t="shared" si="229"/>
        <v>166869.88268188614</v>
      </c>
      <c r="G482" s="632"/>
      <c r="H482" s="632">
        <f t="shared" si="230"/>
        <v>19.470000000000006</v>
      </c>
      <c r="I482" s="642">
        <f t="shared" si="231"/>
        <v>19.470000000000006</v>
      </c>
      <c r="J482" s="643">
        <f t="shared" si="232"/>
        <v>1</v>
      </c>
      <c r="K482" s="636"/>
      <c r="L482" s="636">
        <f t="shared" si="233"/>
        <v>166869.88268188614</v>
      </c>
      <c r="M482" s="636">
        <f t="shared" si="234"/>
        <v>166869.88268188614</v>
      </c>
    </row>
    <row r="483" spans="1:13">
      <c r="A483" s="637"/>
      <c r="B483" s="315"/>
      <c r="C483" s="638"/>
      <c r="D483" s="639"/>
      <c r="E483" s="655"/>
      <c r="F483" s="772">
        <f>+SUBTOTAL(9,F480:F482)</f>
        <v>245886.10411364623</v>
      </c>
      <c r="G483" s="632"/>
      <c r="H483" s="632"/>
      <c r="I483" s="642"/>
      <c r="J483" s="652"/>
      <c r="K483" s="657">
        <f>+SUBTOTAL(9,K480:K482)</f>
        <v>0</v>
      </c>
      <c r="L483" s="657">
        <f t="shared" ref="L483:M483" si="235">+SUBTOTAL(9,L480:L482)</f>
        <v>245886.10411364623</v>
      </c>
      <c r="M483" s="657">
        <f t="shared" si="235"/>
        <v>245886.10411364623</v>
      </c>
    </row>
    <row r="484" spans="1:13" s="779" customFormat="1">
      <c r="A484" s="628">
        <v>2</v>
      </c>
      <c r="B484" s="301" t="s">
        <v>595</v>
      </c>
      <c r="C484" s="774"/>
      <c r="D484" s="649"/>
      <c r="E484" s="775"/>
      <c r="F484" s="776"/>
      <c r="G484" s="777"/>
      <c r="H484" s="777"/>
      <c r="I484" s="780"/>
      <c r="J484" s="781"/>
      <c r="K484" s="778"/>
      <c r="L484" s="778"/>
      <c r="M484" s="778"/>
    </row>
    <row r="485" spans="1:13">
      <c r="A485" s="637">
        <v>2.0099999999999998</v>
      </c>
      <c r="B485" s="315" t="s">
        <v>596</v>
      </c>
      <c r="C485" s="638">
        <v>24.557999999999993</v>
      </c>
      <c r="D485" s="639" t="s">
        <v>189</v>
      </c>
      <c r="E485" s="655">
        <v>475.88999999999959</v>
      </c>
      <c r="F485" s="641">
        <f t="shared" ref="F485" si="236">+E485*C485</f>
        <v>11686.906619999987</v>
      </c>
      <c r="G485" s="632"/>
      <c r="H485" s="632">
        <f t="shared" ref="H485" si="237">+C485</f>
        <v>24.557999999999993</v>
      </c>
      <c r="I485" s="642">
        <f t="shared" ref="I485" si="238">+H485+G485</f>
        <v>24.557999999999993</v>
      </c>
      <c r="J485" s="643">
        <f t="shared" ref="J485" si="239">I485/C485</f>
        <v>1</v>
      </c>
      <c r="K485" s="636"/>
      <c r="L485" s="636">
        <f t="shared" ref="L485" si="240">+H485*E485</f>
        <v>11686.906619999987</v>
      </c>
      <c r="M485" s="636">
        <f t="shared" ref="M485" si="241">K485+L485</f>
        <v>11686.906619999987</v>
      </c>
    </row>
    <row r="486" spans="1:13">
      <c r="A486" s="637"/>
      <c r="B486" s="315"/>
      <c r="C486" s="638"/>
      <c r="D486" s="639"/>
      <c r="E486" s="655"/>
      <c r="F486" s="772">
        <f>+SUBTOTAL(9,F485)</f>
        <v>11686.906619999987</v>
      </c>
      <c r="G486" s="632"/>
      <c r="H486" s="632"/>
      <c r="I486" s="642"/>
      <c r="J486" s="652"/>
      <c r="K486" s="657">
        <f>+SUBTOTAL(9,K485)</f>
        <v>0</v>
      </c>
      <c r="L486" s="657">
        <f t="shared" ref="L486:M486" si="242">+SUBTOTAL(9,L485)</f>
        <v>11686.906619999987</v>
      </c>
      <c r="M486" s="657">
        <f t="shared" si="242"/>
        <v>11686.906619999987</v>
      </c>
    </row>
    <row r="487" spans="1:13" s="779" customFormat="1">
      <c r="A487" s="628">
        <v>3</v>
      </c>
      <c r="B487" s="301" t="s">
        <v>597</v>
      </c>
      <c r="C487" s="774"/>
      <c r="D487" s="649"/>
      <c r="E487" s="775"/>
      <c r="F487" s="776"/>
      <c r="G487" s="777"/>
      <c r="H487" s="777"/>
      <c r="I487" s="780"/>
      <c r="J487" s="781"/>
      <c r="K487" s="778"/>
      <c r="L487" s="778"/>
      <c r="M487" s="778"/>
    </row>
    <row r="488" spans="1:13">
      <c r="A488" s="637">
        <v>3.01</v>
      </c>
      <c r="B488" s="315" t="s">
        <v>598</v>
      </c>
      <c r="C488" s="638">
        <v>395.02500000000009</v>
      </c>
      <c r="D488" s="639" t="s">
        <v>189</v>
      </c>
      <c r="E488" s="655">
        <v>44.7</v>
      </c>
      <c r="F488" s="641">
        <f t="shared" ref="F488:F490" si="243">+E488*C488</f>
        <v>17657.617500000004</v>
      </c>
      <c r="G488" s="632"/>
      <c r="H488" s="632">
        <f t="shared" ref="H488:H490" si="244">+C488</f>
        <v>395.02500000000009</v>
      </c>
      <c r="I488" s="642">
        <f t="shared" ref="I488:I490" si="245">+H488+G488</f>
        <v>395.02500000000009</v>
      </c>
      <c r="J488" s="643">
        <f t="shared" ref="J488:J490" si="246">I488/C488</f>
        <v>1</v>
      </c>
      <c r="K488" s="636"/>
      <c r="L488" s="636">
        <f t="shared" ref="L488:L490" si="247">+H488*E488</f>
        <v>17657.617500000004</v>
      </c>
      <c r="M488" s="636">
        <f t="shared" ref="M488:M490" si="248">K488+L488</f>
        <v>17657.617500000004</v>
      </c>
    </row>
    <row r="489" spans="1:13" ht="26.25">
      <c r="A489" s="637">
        <v>3.0199999999999996</v>
      </c>
      <c r="B489" s="315" t="s">
        <v>599</v>
      </c>
      <c r="C489" s="638">
        <v>73.674000000000007</v>
      </c>
      <c r="D489" s="639" t="s">
        <v>189</v>
      </c>
      <c r="E489" s="655">
        <v>297.65000000000015</v>
      </c>
      <c r="F489" s="641">
        <f t="shared" si="243"/>
        <v>21929.066100000015</v>
      </c>
      <c r="G489" s="632"/>
      <c r="H489" s="632">
        <f t="shared" si="244"/>
        <v>73.674000000000007</v>
      </c>
      <c r="I489" s="642">
        <f t="shared" si="245"/>
        <v>73.674000000000007</v>
      </c>
      <c r="J489" s="643">
        <f t="shared" si="246"/>
        <v>1</v>
      </c>
      <c r="K489" s="636"/>
      <c r="L489" s="636">
        <f t="shared" si="247"/>
        <v>21929.066100000015</v>
      </c>
      <c r="M489" s="636">
        <f t="shared" si="248"/>
        <v>21929.066100000015</v>
      </c>
    </row>
    <row r="490" spans="1:13">
      <c r="A490" s="637">
        <v>3.0299999999999994</v>
      </c>
      <c r="B490" s="315" t="s">
        <v>600</v>
      </c>
      <c r="C490" s="638">
        <v>8.1000000000000014</v>
      </c>
      <c r="D490" s="639" t="s">
        <v>30</v>
      </c>
      <c r="E490" s="655">
        <v>156.09</v>
      </c>
      <c r="F490" s="641">
        <f t="shared" si="243"/>
        <v>1264.3290000000002</v>
      </c>
      <c r="G490" s="632"/>
      <c r="H490" s="632">
        <f t="shared" si="244"/>
        <v>8.1000000000000014</v>
      </c>
      <c r="I490" s="642">
        <f t="shared" si="245"/>
        <v>8.1000000000000014</v>
      </c>
      <c r="J490" s="643">
        <f t="shared" si="246"/>
        <v>1</v>
      </c>
      <c r="K490" s="636"/>
      <c r="L490" s="636">
        <f t="shared" si="247"/>
        <v>1264.3290000000002</v>
      </c>
      <c r="M490" s="636">
        <f t="shared" si="248"/>
        <v>1264.3290000000002</v>
      </c>
    </row>
    <row r="491" spans="1:13">
      <c r="A491" s="637"/>
      <c r="B491" s="663"/>
      <c r="C491" s="664"/>
      <c r="D491" s="665"/>
      <c r="E491" s="666"/>
      <c r="F491" s="772">
        <f>+SUBTOTAL(9,F488:F490)</f>
        <v>40851.012600000016</v>
      </c>
      <c r="G491" s="632"/>
      <c r="H491" s="632"/>
      <c r="I491" s="642"/>
      <c r="J491" s="652"/>
      <c r="K491" s="657">
        <f>+SUBTOTAL(9,K488:K490)</f>
        <v>0</v>
      </c>
      <c r="L491" s="657">
        <f t="shared" ref="L491:M491" si="249">+SUBTOTAL(9,L488:L490)</f>
        <v>40851.012600000016</v>
      </c>
      <c r="M491" s="657">
        <f t="shared" si="249"/>
        <v>40851.012600000016</v>
      </c>
    </row>
    <row r="492" spans="1:13" s="101" customFormat="1" ht="12.75">
      <c r="A492" s="628">
        <v>10</v>
      </c>
      <c r="B492" s="663" t="s">
        <v>623</v>
      </c>
      <c r="C492" s="664"/>
      <c r="D492" s="665"/>
      <c r="E492" s="666"/>
      <c r="F492" s="772"/>
      <c r="G492" s="777"/>
      <c r="H492" s="777"/>
      <c r="I492" s="780"/>
      <c r="J492" s="793"/>
      <c r="K492" s="657"/>
      <c r="L492" s="657"/>
      <c r="M492" s="657"/>
    </row>
    <row r="493" spans="1:13" s="796" customFormat="1" ht="12.75">
      <c r="A493" s="637">
        <v>10.01</v>
      </c>
      <c r="B493" s="659" t="s">
        <v>624</v>
      </c>
      <c r="C493" s="660"/>
      <c r="D493" s="661"/>
      <c r="E493" s="662"/>
      <c r="F493" s="794"/>
      <c r="G493" s="632"/>
      <c r="H493" s="632"/>
      <c r="I493" s="642"/>
      <c r="J493" s="652"/>
      <c r="K493" s="795"/>
      <c r="L493" s="795"/>
      <c r="M493" s="795"/>
    </row>
    <row r="494" spans="1:13" s="796" customFormat="1" ht="12.75">
      <c r="A494" s="637" t="s">
        <v>687</v>
      </c>
      <c r="B494" s="659" t="s">
        <v>625</v>
      </c>
      <c r="C494" s="660">
        <v>1.08</v>
      </c>
      <c r="D494" s="661" t="s">
        <v>189</v>
      </c>
      <c r="E494" s="662">
        <v>2050.4444444444448</v>
      </c>
      <c r="F494" s="641">
        <f t="shared" ref="F494:F500" si="250">+E494*C494</f>
        <v>2214.4800000000005</v>
      </c>
      <c r="G494" s="632"/>
      <c r="H494" s="632">
        <f>+C494</f>
        <v>1.08</v>
      </c>
      <c r="I494" s="642">
        <f t="shared" ref="I494:I500" si="251">+H494+G494</f>
        <v>1.08</v>
      </c>
      <c r="J494" s="643">
        <f t="shared" ref="J494:J500" si="252">I494/C494</f>
        <v>1</v>
      </c>
      <c r="K494" s="636"/>
      <c r="L494" s="636">
        <f t="shared" ref="L494:L500" si="253">+H494*E494</f>
        <v>2214.4800000000005</v>
      </c>
      <c r="M494" s="636">
        <f t="shared" ref="M494:M500" si="254">K494+L494</f>
        <v>2214.4800000000005</v>
      </c>
    </row>
    <row r="495" spans="1:13" s="796" customFormat="1" ht="12.75">
      <c r="A495" s="637" t="s">
        <v>670</v>
      </c>
      <c r="B495" s="659" t="s">
        <v>626</v>
      </c>
      <c r="C495" s="660">
        <v>1.2000000000000002</v>
      </c>
      <c r="D495" s="661" t="s">
        <v>32</v>
      </c>
      <c r="E495" s="662">
        <v>3209.1899999999969</v>
      </c>
      <c r="F495" s="641">
        <f t="shared" si="250"/>
        <v>3851.0279999999966</v>
      </c>
      <c r="G495" s="632"/>
      <c r="H495" s="632">
        <f t="shared" ref="H495:H558" si="255">+C495</f>
        <v>1.2000000000000002</v>
      </c>
      <c r="I495" s="642">
        <f t="shared" si="251"/>
        <v>1.2000000000000002</v>
      </c>
      <c r="J495" s="643">
        <f t="shared" si="252"/>
        <v>1</v>
      </c>
      <c r="K495" s="636"/>
      <c r="L495" s="636">
        <f t="shared" si="253"/>
        <v>3851.0279999999966</v>
      </c>
      <c r="M495" s="636">
        <f t="shared" si="254"/>
        <v>3851.0279999999966</v>
      </c>
    </row>
    <row r="496" spans="1:13" s="796" customFormat="1" ht="12.75">
      <c r="A496" s="637" t="s">
        <v>671</v>
      </c>
      <c r="B496" s="659" t="s">
        <v>627</v>
      </c>
      <c r="C496" s="660">
        <v>1.6</v>
      </c>
      <c r="D496" s="661" t="s">
        <v>32</v>
      </c>
      <c r="E496" s="662">
        <v>8421.9799999999977</v>
      </c>
      <c r="F496" s="641">
        <f t="shared" si="250"/>
        <v>13475.167999999998</v>
      </c>
      <c r="G496" s="632"/>
      <c r="H496" s="632">
        <f t="shared" si="255"/>
        <v>1.6</v>
      </c>
      <c r="I496" s="642">
        <f t="shared" si="251"/>
        <v>1.6</v>
      </c>
      <c r="J496" s="643">
        <f t="shared" si="252"/>
        <v>1</v>
      </c>
      <c r="K496" s="636"/>
      <c r="L496" s="636">
        <f t="shared" si="253"/>
        <v>13475.167999999998</v>
      </c>
      <c r="M496" s="636">
        <f t="shared" si="254"/>
        <v>13475.167999999998</v>
      </c>
    </row>
    <row r="497" spans="1:13" s="796" customFormat="1" ht="12.75">
      <c r="A497" s="637" t="s">
        <v>672</v>
      </c>
      <c r="B497" s="659" t="s">
        <v>673</v>
      </c>
      <c r="C497" s="660">
        <v>0.4</v>
      </c>
      <c r="D497" s="661" t="s">
        <v>32</v>
      </c>
      <c r="E497" s="662">
        <v>1117.7300000000002</v>
      </c>
      <c r="F497" s="641">
        <f t="shared" si="250"/>
        <v>447.0920000000001</v>
      </c>
      <c r="G497" s="632"/>
      <c r="H497" s="632">
        <f t="shared" si="255"/>
        <v>0.4</v>
      </c>
      <c r="I497" s="642">
        <f t="shared" si="251"/>
        <v>0.4</v>
      </c>
      <c r="J497" s="643">
        <f t="shared" si="252"/>
        <v>1</v>
      </c>
      <c r="K497" s="636"/>
      <c r="L497" s="636">
        <f t="shared" si="253"/>
        <v>447.0920000000001</v>
      </c>
      <c r="M497" s="636">
        <f t="shared" si="254"/>
        <v>447.0920000000001</v>
      </c>
    </row>
    <row r="498" spans="1:13" s="796" customFormat="1" ht="12.75">
      <c r="A498" s="637" t="s">
        <v>680</v>
      </c>
      <c r="B498" s="659" t="s">
        <v>629</v>
      </c>
      <c r="C498" s="660">
        <v>0.4</v>
      </c>
      <c r="D498" s="661" t="s">
        <v>32</v>
      </c>
      <c r="E498" s="662">
        <v>7155.7100000000009</v>
      </c>
      <c r="F498" s="641">
        <f t="shared" si="250"/>
        <v>2862.2840000000006</v>
      </c>
      <c r="G498" s="632"/>
      <c r="H498" s="632">
        <f t="shared" si="255"/>
        <v>0.4</v>
      </c>
      <c r="I498" s="642">
        <f t="shared" si="251"/>
        <v>0.4</v>
      </c>
      <c r="J498" s="643">
        <f t="shared" si="252"/>
        <v>1</v>
      </c>
      <c r="K498" s="636"/>
      <c r="L498" s="636">
        <f t="shared" si="253"/>
        <v>2862.2840000000006</v>
      </c>
      <c r="M498" s="636">
        <f t="shared" si="254"/>
        <v>2862.2840000000006</v>
      </c>
    </row>
    <row r="499" spans="1:13" s="796" customFormat="1" ht="12.75">
      <c r="A499" s="637" t="s">
        <v>681</v>
      </c>
      <c r="B499" s="659" t="s">
        <v>688</v>
      </c>
      <c r="C499" s="660">
        <v>0.2</v>
      </c>
      <c r="D499" s="661" t="s">
        <v>32</v>
      </c>
      <c r="E499" s="662">
        <v>716.60999999999945</v>
      </c>
      <c r="F499" s="641">
        <f t="shared" si="250"/>
        <v>143.32199999999989</v>
      </c>
      <c r="G499" s="632"/>
      <c r="H499" s="632">
        <f t="shared" si="255"/>
        <v>0.2</v>
      </c>
      <c r="I499" s="642">
        <f t="shared" si="251"/>
        <v>0.2</v>
      </c>
      <c r="J499" s="643">
        <f t="shared" si="252"/>
        <v>1</v>
      </c>
      <c r="K499" s="636"/>
      <c r="L499" s="636">
        <f t="shared" si="253"/>
        <v>143.32199999999989</v>
      </c>
      <c r="M499" s="636">
        <f t="shared" si="254"/>
        <v>143.32199999999989</v>
      </c>
    </row>
    <row r="500" spans="1:13" s="796" customFormat="1" ht="12.75">
      <c r="A500" s="637" t="s">
        <v>681</v>
      </c>
      <c r="B500" s="659" t="s">
        <v>631</v>
      </c>
      <c r="C500" s="660">
        <v>0.2</v>
      </c>
      <c r="D500" s="661" t="s">
        <v>88</v>
      </c>
      <c r="E500" s="662">
        <v>112800</v>
      </c>
      <c r="F500" s="641">
        <f t="shared" si="250"/>
        <v>22560</v>
      </c>
      <c r="G500" s="632"/>
      <c r="H500" s="632">
        <f t="shared" si="255"/>
        <v>0.2</v>
      </c>
      <c r="I500" s="642">
        <f t="shared" si="251"/>
        <v>0.2</v>
      </c>
      <c r="J500" s="643">
        <f t="shared" si="252"/>
        <v>1</v>
      </c>
      <c r="K500" s="636"/>
      <c r="L500" s="636">
        <f t="shared" si="253"/>
        <v>22560</v>
      </c>
      <c r="M500" s="636">
        <f t="shared" si="254"/>
        <v>22560</v>
      </c>
    </row>
    <row r="501" spans="1:13" s="796" customFormat="1" ht="12.75">
      <c r="A501" s="637">
        <v>10.02</v>
      </c>
      <c r="B501" s="659" t="s">
        <v>632</v>
      </c>
      <c r="C501" s="660"/>
      <c r="D501" s="661"/>
      <c r="E501" s="662"/>
      <c r="F501" s="794"/>
      <c r="G501" s="632"/>
      <c r="H501" s="632"/>
      <c r="I501" s="642"/>
      <c r="J501" s="652"/>
      <c r="K501" s="795"/>
      <c r="L501" s="795"/>
      <c r="M501" s="795"/>
    </row>
    <row r="502" spans="1:13" s="796" customFormat="1" ht="12.75">
      <c r="A502" s="637" t="s">
        <v>682</v>
      </c>
      <c r="B502" s="659" t="s">
        <v>633</v>
      </c>
      <c r="C502" s="660">
        <v>2</v>
      </c>
      <c r="D502" s="661" t="s">
        <v>353</v>
      </c>
      <c r="E502" s="662">
        <v>2195.0039999999999</v>
      </c>
      <c r="F502" s="641">
        <f t="shared" ref="F502:F505" si="256">+E502*C502</f>
        <v>4390.0079999999998</v>
      </c>
      <c r="G502" s="632"/>
      <c r="H502" s="632">
        <f t="shared" si="255"/>
        <v>2</v>
      </c>
      <c r="I502" s="642">
        <f t="shared" ref="I502:I505" si="257">+H502+G502</f>
        <v>2</v>
      </c>
      <c r="J502" s="643">
        <f t="shared" ref="J502:J505" si="258">I502/C502</f>
        <v>1</v>
      </c>
      <c r="K502" s="636"/>
      <c r="L502" s="636">
        <f t="shared" ref="L502:L505" si="259">+H502*E502</f>
        <v>4390.0079999999998</v>
      </c>
      <c r="M502" s="636">
        <f t="shared" ref="M502:M505" si="260">K502+L502</f>
        <v>4390.0079999999998</v>
      </c>
    </row>
    <row r="503" spans="1:13" s="796" customFormat="1" ht="12.75">
      <c r="A503" s="637" t="s">
        <v>683</v>
      </c>
      <c r="B503" s="659" t="s">
        <v>625</v>
      </c>
      <c r="C503" s="660">
        <v>0.24</v>
      </c>
      <c r="D503" s="661" t="s">
        <v>189</v>
      </c>
      <c r="E503" s="662">
        <v>2142.86</v>
      </c>
      <c r="F503" s="641">
        <f t="shared" si="256"/>
        <v>514.28639999999996</v>
      </c>
      <c r="G503" s="632"/>
      <c r="H503" s="632">
        <f t="shared" si="255"/>
        <v>0.24</v>
      </c>
      <c r="I503" s="642">
        <f t="shared" si="257"/>
        <v>0.24</v>
      </c>
      <c r="J503" s="643">
        <f t="shared" si="258"/>
        <v>1</v>
      </c>
      <c r="K503" s="636"/>
      <c r="L503" s="636">
        <f t="shared" si="259"/>
        <v>514.28639999999996</v>
      </c>
      <c r="M503" s="636">
        <f t="shared" si="260"/>
        <v>514.28639999999996</v>
      </c>
    </row>
    <row r="504" spans="1:13" s="796" customFormat="1" ht="12.75">
      <c r="A504" s="637" t="s">
        <v>684</v>
      </c>
      <c r="B504" s="659" t="s">
        <v>634</v>
      </c>
      <c r="C504" s="660">
        <v>0.2</v>
      </c>
      <c r="D504" s="661" t="s">
        <v>32</v>
      </c>
      <c r="E504" s="662">
        <v>4275.0400000000009</v>
      </c>
      <c r="F504" s="641">
        <f t="shared" si="256"/>
        <v>855.00800000000027</v>
      </c>
      <c r="G504" s="632"/>
      <c r="H504" s="632">
        <f t="shared" si="255"/>
        <v>0.2</v>
      </c>
      <c r="I504" s="642">
        <f t="shared" si="257"/>
        <v>0.2</v>
      </c>
      <c r="J504" s="643">
        <f t="shared" si="258"/>
        <v>1</v>
      </c>
      <c r="K504" s="636"/>
      <c r="L504" s="636">
        <f t="shared" si="259"/>
        <v>855.00800000000027</v>
      </c>
      <c r="M504" s="636">
        <f t="shared" si="260"/>
        <v>855.00800000000027</v>
      </c>
    </row>
    <row r="505" spans="1:13" s="796" customFormat="1" ht="12.75">
      <c r="A505" s="637" t="s">
        <v>685</v>
      </c>
      <c r="B505" s="659" t="s">
        <v>688</v>
      </c>
      <c r="C505" s="660">
        <v>0.2</v>
      </c>
      <c r="D505" s="661" t="s">
        <v>32</v>
      </c>
      <c r="E505" s="662">
        <v>716.60999999999945</v>
      </c>
      <c r="F505" s="641">
        <f t="shared" si="256"/>
        <v>143.32199999999989</v>
      </c>
      <c r="G505" s="632"/>
      <c r="H505" s="632">
        <f t="shared" si="255"/>
        <v>0.2</v>
      </c>
      <c r="I505" s="642">
        <f t="shared" si="257"/>
        <v>0.2</v>
      </c>
      <c r="J505" s="643">
        <f t="shared" si="258"/>
        <v>1</v>
      </c>
      <c r="K505" s="636"/>
      <c r="L505" s="636">
        <f t="shared" si="259"/>
        <v>143.32199999999989</v>
      </c>
      <c r="M505" s="636">
        <f t="shared" si="260"/>
        <v>143.32199999999989</v>
      </c>
    </row>
    <row r="506" spans="1:13">
      <c r="A506" s="637"/>
      <c r="B506" s="663"/>
      <c r="C506" s="664"/>
      <c r="D506" s="665"/>
      <c r="E506" s="666"/>
      <c r="F506" s="772">
        <f>+SUBTOTAL(9,F494:F505)</f>
        <v>51455.998399999997</v>
      </c>
      <c r="G506" s="632"/>
      <c r="H506" s="632"/>
      <c r="I506" s="642"/>
      <c r="J506" s="652"/>
      <c r="K506" s="657">
        <f>+SUBTOTAL(9,K494:K505)</f>
        <v>0</v>
      </c>
      <c r="L506" s="657">
        <f t="shared" ref="L506:M506" si="261">+SUBTOTAL(9,L494:L505)</f>
        <v>51455.998399999997</v>
      </c>
      <c r="M506" s="657">
        <f t="shared" si="261"/>
        <v>51455.998399999997</v>
      </c>
    </row>
    <row r="507" spans="1:13" s="101" customFormat="1" ht="12.75">
      <c r="A507" s="628">
        <v>11</v>
      </c>
      <c r="B507" s="663" t="s">
        <v>636</v>
      </c>
      <c r="C507" s="664"/>
      <c r="D507" s="665"/>
      <c r="E507" s="666"/>
      <c r="F507" s="772"/>
      <c r="G507" s="777"/>
      <c r="H507" s="632"/>
      <c r="I507" s="780"/>
      <c r="J507" s="793"/>
      <c r="K507" s="657"/>
      <c r="L507" s="657"/>
      <c r="M507" s="657"/>
    </row>
    <row r="508" spans="1:13" s="796" customFormat="1" ht="12.75">
      <c r="A508" s="637">
        <v>11.01</v>
      </c>
      <c r="B508" s="659" t="s">
        <v>637</v>
      </c>
      <c r="C508" s="660">
        <v>10</v>
      </c>
      <c r="D508" s="661" t="s">
        <v>32</v>
      </c>
      <c r="E508" s="662">
        <v>497.10600000000011</v>
      </c>
      <c r="F508" s="641">
        <f t="shared" ref="F508:F516" si="262">+E508*C508</f>
        <v>4971.0600000000013</v>
      </c>
      <c r="G508" s="632"/>
      <c r="H508" s="632">
        <f t="shared" si="255"/>
        <v>10</v>
      </c>
      <c r="I508" s="642">
        <f t="shared" ref="I508:I516" si="263">+H508+G508</f>
        <v>10</v>
      </c>
      <c r="J508" s="643">
        <f t="shared" ref="J508:J516" si="264">I508/C508</f>
        <v>1</v>
      </c>
      <c r="K508" s="636"/>
      <c r="L508" s="636">
        <f t="shared" ref="L508:L516" si="265">+H508*E508</f>
        <v>4971.0600000000013</v>
      </c>
      <c r="M508" s="636">
        <f t="shared" ref="M508:M516" si="266">K508+L508</f>
        <v>4971.0600000000013</v>
      </c>
    </row>
    <row r="509" spans="1:13" s="796" customFormat="1" ht="12.75">
      <c r="A509" s="637">
        <v>11.02</v>
      </c>
      <c r="B509" s="659" t="s">
        <v>638</v>
      </c>
      <c r="C509" s="660">
        <v>2.4000000000000004</v>
      </c>
      <c r="D509" s="661" t="s">
        <v>32</v>
      </c>
      <c r="E509" s="662">
        <v>543.59999999999968</v>
      </c>
      <c r="F509" s="641">
        <f t="shared" si="262"/>
        <v>1304.6399999999994</v>
      </c>
      <c r="G509" s="632"/>
      <c r="H509" s="632">
        <f t="shared" si="255"/>
        <v>2.4000000000000004</v>
      </c>
      <c r="I509" s="642">
        <f t="shared" si="263"/>
        <v>2.4000000000000004</v>
      </c>
      <c r="J509" s="643">
        <f t="shared" si="264"/>
        <v>1</v>
      </c>
      <c r="K509" s="636"/>
      <c r="L509" s="636">
        <f t="shared" si="265"/>
        <v>1304.6399999999994</v>
      </c>
      <c r="M509" s="636">
        <f t="shared" si="266"/>
        <v>1304.6399999999994</v>
      </c>
    </row>
    <row r="510" spans="1:13" s="796" customFormat="1" ht="12.75">
      <c r="A510" s="637">
        <v>11.03</v>
      </c>
      <c r="B510" s="659" t="s">
        <v>639</v>
      </c>
      <c r="C510" s="660">
        <v>0.4</v>
      </c>
      <c r="D510" s="661" t="s">
        <v>32</v>
      </c>
      <c r="E510" s="662">
        <v>720.18</v>
      </c>
      <c r="F510" s="641">
        <f t="shared" si="262"/>
        <v>288.072</v>
      </c>
      <c r="G510" s="632"/>
      <c r="H510" s="632">
        <f t="shared" si="255"/>
        <v>0.4</v>
      </c>
      <c r="I510" s="642">
        <f t="shared" si="263"/>
        <v>0.4</v>
      </c>
      <c r="J510" s="643">
        <f t="shared" si="264"/>
        <v>1</v>
      </c>
      <c r="K510" s="636"/>
      <c r="L510" s="636">
        <f t="shared" si="265"/>
        <v>288.072</v>
      </c>
      <c r="M510" s="636">
        <f t="shared" si="266"/>
        <v>288.072</v>
      </c>
    </row>
    <row r="511" spans="1:13" s="796" customFormat="1" ht="12.75">
      <c r="A511" s="637">
        <v>11.04</v>
      </c>
      <c r="B511" s="659" t="s">
        <v>640</v>
      </c>
      <c r="C511" s="660">
        <v>0.2</v>
      </c>
      <c r="D511" s="661" t="s">
        <v>32</v>
      </c>
      <c r="E511" s="662">
        <v>870.11599999999953</v>
      </c>
      <c r="F511" s="641">
        <f t="shared" si="262"/>
        <v>174.02319999999992</v>
      </c>
      <c r="G511" s="632"/>
      <c r="H511" s="632">
        <f t="shared" si="255"/>
        <v>0.2</v>
      </c>
      <c r="I511" s="642">
        <f t="shared" si="263"/>
        <v>0.2</v>
      </c>
      <c r="J511" s="643">
        <f t="shared" si="264"/>
        <v>1</v>
      </c>
      <c r="K511" s="636"/>
      <c r="L511" s="636">
        <f t="shared" si="265"/>
        <v>174.02319999999992</v>
      </c>
      <c r="M511" s="636">
        <f t="shared" si="266"/>
        <v>174.02319999999992</v>
      </c>
    </row>
    <row r="512" spans="1:13" s="796" customFormat="1" ht="12.75">
      <c r="A512" s="637">
        <v>11.049999999999999</v>
      </c>
      <c r="B512" s="659" t="s">
        <v>641</v>
      </c>
      <c r="C512" s="660">
        <v>0.4</v>
      </c>
      <c r="D512" s="661" t="s">
        <v>32</v>
      </c>
      <c r="E512" s="662">
        <v>660.37400000000014</v>
      </c>
      <c r="F512" s="641">
        <f t="shared" si="262"/>
        <v>264.14960000000008</v>
      </c>
      <c r="G512" s="632"/>
      <c r="H512" s="632">
        <f t="shared" si="255"/>
        <v>0.4</v>
      </c>
      <c r="I512" s="642">
        <f t="shared" si="263"/>
        <v>0.4</v>
      </c>
      <c r="J512" s="643">
        <f t="shared" si="264"/>
        <v>1</v>
      </c>
      <c r="K512" s="636"/>
      <c r="L512" s="636">
        <f t="shared" si="265"/>
        <v>264.14960000000008</v>
      </c>
      <c r="M512" s="636">
        <f t="shared" si="266"/>
        <v>264.14960000000008</v>
      </c>
    </row>
    <row r="513" spans="1:13" s="796" customFormat="1" ht="12.75">
      <c r="A513" s="637">
        <v>11.059999999999999</v>
      </c>
      <c r="B513" s="659" t="s">
        <v>642</v>
      </c>
      <c r="C513" s="660">
        <v>9.2000000000000011</v>
      </c>
      <c r="D513" s="661" t="s">
        <v>32</v>
      </c>
      <c r="E513" s="662">
        <v>688.7399999999999</v>
      </c>
      <c r="F513" s="641">
        <f t="shared" si="262"/>
        <v>6336.4079999999994</v>
      </c>
      <c r="G513" s="632"/>
      <c r="H513" s="632">
        <f t="shared" si="255"/>
        <v>9.2000000000000011</v>
      </c>
      <c r="I513" s="642">
        <f t="shared" si="263"/>
        <v>9.2000000000000011</v>
      </c>
      <c r="J513" s="643">
        <f t="shared" si="264"/>
        <v>1</v>
      </c>
      <c r="K513" s="636"/>
      <c r="L513" s="636">
        <f t="shared" si="265"/>
        <v>6336.4079999999994</v>
      </c>
      <c r="M513" s="636">
        <f t="shared" si="266"/>
        <v>6336.4079999999994</v>
      </c>
    </row>
    <row r="514" spans="1:13" s="796" customFormat="1" ht="12.75">
      <c r="A514" s="637">
        <v>11.069999999999999</v>
      </c>
      <c r="B514" s="659" t="s">
        <v>643</v>
      </c>
      <c r="C514" s="660">
        <v>2.8000000000000003</v>
      </c>
      <c r="D514" s="661" t="s">
        <v>32</v>
      </c>
      <c r="E514" s="662">
        <v>1311.5260000000001</v>
      </c>
      <c r="F514" s="641">
        <f t="shared" si="262"/>
        <v>3672.2728000000006</v>
      </c>
      <c r="G514" s="632"/>
      <c r="H514" s="632">
        <f t="shared" si="255"/>
        <v>2.8000000000000003</v>
      </c>
      <c r="I514" s="642">
        <f t="shared" si="263"/>
        <v>2.8000000000000003</v>
      </c>
      <c r="J514" s="643">
        <f t="shared" si="264"/>
        <v>1</v>
      </c>
      <c r="K514" s="636"/>
      <c r="L514" s="636">
        <f t="shared" si="265"/>
        <v>3672.2728000000006</v>
      </c>
      <c r="M514" s="636">
        <f t="shared" si="266"/>
        <v>3672.2728000000006</v>
      </c>
    </row>
    <row r="515" spans="1:13" s="796" customFormat="1" ht="12.75">
      <c r="A515" s="637">
        <v>11.079999999999998</v>
      </c>
      <c r="B515" s="659" t="s">
        <v>644</v>
      </c>
      <c r="C515" s="660">
        <v>7.2</v>
      </c>
      <c r="D515" s="661" t="s">
        <v>32</v>
      </c>
      <c r="E515" s="662">
        <v>339.20399999999995</v>
      </c>
      <c r="F515" s="641">
        <f t="shared" si="262"/>
        <v>2442.2687999999998</v>
      </c>
      <c r="G515" s="632"/>
      <c r="H515" s="632">
        <f t="shared" si="255"/>
        <v>7.2</v>
      </c>
      <c r="I515" s="642">
        <f t="shared" si="263"/>
        <v>7.2</v>
      </c>
      <c r="J515" s="643">
        <f t="shared" si="264"/>
        <v>1</v>
      </c>
      <c r="K515" s="636"/>
      <c r="L515" s="636">
        <f t="shared" si="265"/>
        <v>2442.2687999999998</v>
      </c>
      <c r="M515" s="636">
        <f t="shared" si="266"/>
        <v>2442.2687999999998</v>
      </c>
    </row>
    <row r="516" spans="1:13" s="796" customFormat="1" ht="12.75">
      <c r="A516" s="637">
        <v>11.089999999999998</v>
      </c>
      <c r="B516" s="659" t="s">
        <v>645</v>
      </c>
      <c r="C516" s="660">
        <v>0.2</v>
      </c>
      <c r="D516" s="661" t="s">
        <v>32</v>
      </c>
      <c r="E516" s="662">
        <v>8650.1760000000013</v>
      </c>
      <c r="F516" s="641">
        <f t="shared" si="262"/>
        <v>1730.0352000000003</v>
      </c>
      <c r="G516" s="632"/>
      <c r="H516" s="632">
        <f t="shared" si="255"/>
        <v>0.2</v>
      </c>
      <c r="I516" s="642">
        <f t="shared" si="263"/>
        <v>0.2</v>
      </c>
      <c r="J516" s="643">
        <f t="shared" si="264"/>
        <v>1</v>
      </c>
      <c r="K516" s="636"/>
      <c r="L516" s="636">
        <f t="shared" si="265"/>
        <v>1730.0352000000003</v>
      </c>
      <c r="M516" s="636">
        <f t="shared" si="266"/>
        <v>1730.0352000000003</v>
      </c>
    </row>
    <row r="517" spans="1:13">
      <c r="A517" s="637"/>
      <c r="B517" s="663"/>
      <c r="C517" s="664"/>
      <c r="D517" s="665"/>
      <c r="E517" s="666"/>
      <c r="F517" s="772">
        <f>+SUBTOTAL(9,F508:F516)</f>
        <v>21182.929599999996</v>
      </c>
      <c r="G517" s="632"/>
      <c r="H517" s="632"/>
      <c r="I517" s="642"/>
      <c r="J517" s="652"/>
      <c r="K517" s="657">
        <f>+SUBTOTAL(9,K508:K516)</f>
        <v>0</v>
      </c>
      <c r="L517" s="657">
        <f t="shared" ref="L517:M517" si="267">+SUBTOTAL(9,L508:L516)</f>
        <v>21182.929599999996</v>
      </c>
      <c r="M517" s="657">
        <f t="shared" si="267"/>
        <v>21182.929599999996</v>
      </c>
    </row>
    <row r="518" spans="1:13" s="101" customFormat="1" ht="12.75">
      <c r="A518" s="628" t="s">
        <v>203</v>
      </c>
      <c r="B518" s="663" t="s">
        <v>648</v>
      </c>
      <c r="C518" s="664"/>
      <c r="D518" s="665"/>
      <c r="E518" s="666"/>
      <c r="F518" s="772"/>
      <c r="G518" s="777"/>
      <c r="H518" s="632"/>
      <c r="I518" s="780"/>
      <c r="J518" s="793"/>
      <c r="K518" s="657"/>
      <c r="L518" s="657"/>
      <c r="M518" s="657"/>
    </row>
    <row r="519" spans="1:13" s="796" customFormat="1" ht="12.75">
      <c r="A519" s="637">
        <v>1</v>
      </c>
      <c r="B519" s="659" t="s">
        <v>585</v>
      </c>
      <c r="C519" s="660"/>
      <c r="D519" s="661"/>
      <c r="E519" s="662"/>
      <c r="F519" s="794"/>
      <c r="G519" s="632"/>
      <c r="H519" s="632"/>
      <c r="I519" s="642"/>
      <c r="J519" s="652"/>
      <c r="K519" s="795"/>
      <c r="L519" s="795"/>
      <c r="M519" s="795"/>
    </row>
    <row r="520" spans="1:13" s="796" customFormat="1" ht="12.75">
      <c r="A520" s="637">
        <v>1.01</v>
      </c>
      <c r="B520" s="659" t="s">
        <v>588</v>
      </c>
      <c r="C520" s="660">
        <v>2.5919999999999987</v>
      </c>
      <c r="D520" s="661" t="s">
        <v>38</v>
      </c>
      <c r="E520" s="662">
        <v>18225.630000000005</v>
      </c>
      <c r="F520" s="641">
        <f t="shared" ref="F520:F524" si="268">+E520*C520</f>
        <v>47240.832959999992</v>
      </c>
      <c r="G520" s="632"/>
      <c r="H520" s="632">
        <f t="shared" si="255"/>
        <v>2.5919999999999987</v>
      </c>
      <c r="I520" s="642">
        <f t="shared" ref="I520:I524" si="269">+H520+G520</f>
        <v>2.5919999999999987</v>
      </c>
      <c r="J520" s="643">
        <f t="shared" ref="J520:J524" si="270">I520/C520</f>
        <v>1</v>
      </c>
      <c r="K520" s="636"/>
      <c r="L520" s="636">
        <f t="shared" ref="L520:L524" si="271">+H520*E520</f>
        <v>47240.832959999992</v>
      </c>
      <c r="M520" s="636">
        <f t="shared" ref="M520:M524" si="272">K520+L520</f>
        <v>47240.832959999992</v>
      </c>
    </row>
    <row r="521" spans="1:13" s="796" customFormat="1" ht="12.75">
      <c r="A521" s="637">
        <v>1.02</v>
      </c>
      <c r="B521" s="659" t="s">
        <v>668</v>
      </c>
      <c r="C521" s="660">
        <v>7.0760000000000005</v>
      </c>
      <c r="D521" s="661" t="s">
        <v>38</v>
      </c>
      <c r="E521" s="662">
        <v>11242.63999999999</v>
      </c>
      <c r="F521" s="641">
        <f t="shared" si="268"/>
        <v>79552.920639999938</v>
      </c>
      <c r="G521" s="632"/>
      <c r="H521" s="632">
        <f t="shared" si="255"/>
        <v>7.0760000000000005</v>
      </c>
      <c r="I521" s="642">
        <f t="shared" si="269"/>
        <v>7.0760000000000005</v>
      </c>
      <c r="J521" s="643">
        <f t="shared" si="270"/>
        <v>1</v>
      </c>
      <c r="K521" s="636"/>
      <c r="L521" s="636">
        <f t="shared" si="271"/>
        <v>79552.920639999938</v>
      </c>
      <c r="M521" s="636">
        <f t="shared" si="272"/>
        <v>79552.920639999938</v>
      </c>
    </row>
    <row r="522" spans="1:13" s="796" customFormat="1" ht="12.75">
      <c r="A522" s="637">
        <v>1.03</v>
      </c>
      <c r="B522" s="659" t="s">
        <v>591</v>
      </c>
      <c r="C522" s="660">
        <v>3.8259999999999987</v>
      </c>
      <c r="D522" s="661" t="s">
        <v>38</v>
      </c>
      <c r="E522" s="662">
        <v>9398.980000000005</v>
      </c>
      <c r="F522" s="641">
        <f t="shared" si="268"/>
        <v>35960.497480000005</v>
      </c>
      <c r="G522" s="632"/>
      <c r="H522" s="632">
        <f t="shared" si="255"/>
        <v>3.8259999999999987</v>
      </c>
      <c r="I522" s="642">
        <f t="shared" si="269"/>
        <v>3.8259999999999987</v>
      </c>
      <c r="J522" s="643">
        <f t="shared" si="270"/>
        <v>1</v>
      </c>
      <c r="K522" s="636"/>
      <c r="L522" s="636">
        <f t="shared" si="271"/>
        <v>35960.497480000005</v>
      </c>
      <c r="M522" s="636">
        <f t="shared" si="272"/>
        <v>35960.497480000005</v>
      </c>
    </row>
    <row r="523" spans="1:13" s="796" customFormat="1" ht="12.75">
      <c r="A523" s="637">
        <v>1.04</v>
      </c>
      <c r="B523" s="659" t="s">
        <v>592</v>
      </c>
      <c r="C523" s="660">
        <v>0.47599999999999998</v>
      </c>
      <c r="D523" s="661" t="s">
        <v>38</v>
      </c>
      <c r="E523" s="662">
        <v>10807.939999999995</v>
      </c>
      <c r="F523" s="641">
        <f t="shared" si="268"/>
        <v>5144.5794399999977</v>
      </c>
      <c r="G523" s="632"/>
      <c r="H523" s="632">
        <f t="shared" si="255"/>
        <v>0.47599999999999998</v>
      </c>
      <c r="I523" s="642">
        <f t="shared" si="269"/>
        <v>0.47599999999999998</v>
      </c>
      <c r="J523" s="643">
        <f t="shared" si="270"/>
        <v>1</v>
      </c>
      <c r="K523" s="636"/>
      <c r="L523" s="636">
        <f t="shared" si="271"/>
        <v>5144.5794399999977</v>
      </c>
      <c r="M523" s="636">
        <f t="shared" si="272"/>
        <v>5144.5794399999977</v>
      </c>
    </row>
    <row r="524" spans="1:13" s="796" customFormat="1" ht="12.75">
      <c r="A524" s="637">
        <v>1.05</v>
      </c>
      <c r="B524" s="659" t="s">
        <v>594</v>
      </c>
      <c r="C524" s="660">
        <v>11.087999999999994</v>
      </c>
      <c r="D524" s="661" t="s">
        <v>38</v>
      </c>
      <c r="E524" s="662">
        <v>8570.6154433428874</v>
      </c>
      <c r="F524" s="641">
        <f t="shared" si="268"/>
        <v>95030.984035785877</v>
      </c>
      <c r="G524" s="632"/>
      <c r="H524" s="632">
        <f t="shared" si="255"/>
        <v>11.087999999999994</v>
      </c>
      <c r="I524" s="642">
        <f t="shared" si="269"/>
        <v>11.087999999999994</v>
      </c>
      <c r="J524" s="643">
        <f t="shared" si="270"/>
        <v>1</v>
      </c>
      <c r="K524" s="636"/>
      <c r="L524" s="636">
        <f t="shared" si="271"/>
        <v>95030.984035785877</v>
      </c>
      <c r="M524" s="636">
        <f t="shared" si="272"/>
        <v>95030.984035785877</v>
      </c>
    </row>
    <row r="525" spans="1:13">
      <c r="A525" s="637"/>
      <c r="B525" s="663"/>
      <c r="C525" s="664"/>
      <c r="D525" s="665"/>
      <c r="E525" s="666"/>
      <c r="F525" s="772">
        <f>+SUBTOTAL(9,F520:F524)</f>
        <v>262929.81455578585</v>
      </c>
      <c r="G525" s="632"/>
      <c r="H525" s="632"/>
      <c r="I525" s="642"/>
      <c r="J525" s="652"/>
      <c r="K525" s="657">
        <f>+SUBTOTAL(9,K520:K524)</f>
        <v>0</v>
      </c>
      <c r="L525" s="657">
        <f t="shared" ref="L525:M525" si="273">+SUBTOTAL(9,L520:L524)</f>
        <v>262929.81455578585</v>
      </c>
      <c r="M525" s="657">
        <f t="shared" si="273"/>
        <v>262929.81455578585</v>
      </c>
    </row>
    <row r="526" spans="1:13" s="101" customFormat="1" ht="12.75">
      <c r="A526" s="628">
        <v>2</v>
      </c>
      <c r="B526" s="663" t="s">
        <v>595</v>
      </c>
      <c r="C526" s="664"/>
      <c r="D526" s="665"/>
      <c r="E526" s="666"/>
      <c r="F526" s="772"/>
      <c r="G526" s="777"/>
      <c r="H526" s="632"/>
      <c r="I526" s="780"/>
      <c r="J526" s="793"/>
      <c r="K526" s="657"/>
      <c r="L526" s="657"/>
      <c r="M526" s="657"/>
    </row>
    <row r="527" spans="1:13" s="796" customFormat="1" ht="12.75">
      <c r="A527" s="637">
        <v>2.0099999999999998</v>
      </c>
      <c r="B527" s="659" t="s">
        <v>596</v>
      </c>
      <c r="C527" s="660">
        <v>61.395000000000003</v>
      </c>
      <c r="D527" s="661" t="s">
        <v>189</v>
      </c>
      <c r="E527" s="662">
        <v>475.88999999999953</v>
      </c>
      <c r="F527" s="641">
        <f t="shared" ref="F527" si="274">+E527*C527</f>
        <v>29217.266549999971</v>
      </c>
      <c r="G527" s="632"/>
      <c r="H527" s="632">
        <f t="shared" si="255"/>
        <v>61.395000000000003</v>
      </c>
      <c r="I527" s="642">
        <f t="shared" ref="I527" si="275">+H527+G527</f>
        <v>61.395000000000003</v>
      </c>
      <c r="J527" s="643">
        <f t="shared" ref="J527" si="276">I527/C527</f>
        <v>1</v>
      </c>
      <c r="K527" s="636"/>
      <c r="L527" s="636">
        <f t="shared" ref="L527" si="277">+H527*E527</f>
        <v>29217.266549999971</v>
      </c>
      <c r="M527" s="636">
        <f t="shared" ref="M527" si="278">K527+L527</f>
        <v>29217.266549999971</v>
      </c>
    </row>
    <row r="528" spans="1:13">
      <c r="A528" s="637"/>
      <c r="B528" s="663"/>
      <c r="C528" s="664"/>
      <c r="D528" s="665"/>
      <c r="E528" s="666"/>
      <c r="F528" s="772">
        <f>+SUBTOTAL(9,F527)</f>
        <v>29217.266549999971</v>
      </c>
      <c r="G528" s="632"/>
      <c r="H528" s="632"/>
      <c r="I528" s="642"/>
      <c r="J528" s="652"/>
      <c r="K528" s="657">
        <f>+SUBTOTAL(9,K527)</f>
        <v>0</v>
      </c>
      <c r="L528" s="657">
        <f t="shared" ref="L528:M528" si="279">+SUBTOTAL(9,L527)</f>
        <v>29217.266549999971</v>
      </c>
      <c r="M528" s="657">
        <f t="shared" si="279"/>
        <v>29217.266549999971</v>
      </c>
    </row>
    <row r="529" spans="1:13" s="101" customFormat="1" ht="12.75">
      <c r="A529" s="628">
        <v>3</v>
      </c>
      <c r="B529" s="663" t="s">
        <v>597</v>
      </c>
      <c r="C529" s="664"/>
      <c r="D529" s="665"/>
      <c r="E529" s="666"/>
      <c r="F529" s="772"/>
      <c r="G529" s="777"/>
      <c r="H529" s="632"/>
      <c r="I529" s="780"/>
      <c r="J529" s="793"/>
      <c r="K529" s="657"/>
      <c r="L529" s="657"/>
      <c r="M529" s="657"/>
    </row>
    <row r="530" spans="1:13" s="796" customFormat="1" ht="12.75">
      <c r="A530" s="637">
        <v>3.01</v>
      </c>
      <c r="B530" s="659" t="s">
        <v>598</v>
      </c>
      <c r="C530" s="660">
        <v>551.04999999999995</v>
      </c>
      <c r="D530" s="661" t="s">
        <v>189</v>
      </c>
      <c r="E530" s="662">
        <v>44.70000000000001</v>
      </c>
      <c r="F530" s="641">
        <f t="shared" ref="F530:F532" si="280">+E530*C530</f>
        <v>24631.935000000005</v>
      </c>
      <c r="G530" s="632"/>
      <c r="H530" s="632">
        <f t="shared" si="255"/>
        <v>551.04999999999995</v>
      </c>
      <c r="I530" s="642">
        <f t="shared" ref="I530:I532" si="281">+H530+G530</f>
        <v>551.04999999999995</v>
      </c>
      <c r="J530" s="643">
        <f t="shared" ref="J530:J532" si="282">I530/C530</f>
        <v>1</v>
      </c>
      <c r="K530" s="636"/>
      <c r="L530" s="636">
        <f t="shared" ref="L530:L532" si="283">+H530*E530</f>
        <v>24631.935000000005</v>
      </c>
      <c r="M530" s="636">
        <f t="shared" ref="M530:M532" si="284">K530+L530</f>
        <v>24631.935000000005</v>
      </c>
    </row>
    <row r="531" spans="1:13" s="796" customFormat="1" ht="25.5">
      <c r="A531" s="637">
        <v>3.0199999999999996</v>
      </c>
      <c r="B531" s="659" t="s">
        <v>599</v>
      </c>
      <c r="C531" s="660">
        <v>122.79</v>
      </c>
      <c r="D531" s="661" t="s">
        <v>189</v>
      </c>
      <c r="E531" s="662">
        <v>297.65000000000003</v>
      </c>
      <c r="F531" s="641">
        <f t="shared" si="280"/>
        <v>36548.443500000008</v>
      </c>
      <c r="G531" s="632"/>
      <c r="H531" s="632">
        <f t="shared" si="255"/>
        <v>122.79</v>
      </c>
      <c r="I531" s="642">
        <f t="shared" si="281"/>
        <v>122.79</v>
      </c>
      <c r="J531" s="643">
        <f t="shared" si="282"/>
        <v>1</v>
      </c>
      <c r="K531" s="636"/>
      <c r="L531" s="636">
        <f t="shared" si="283"/>
        <v>36548.443500000008</v>
      </c>
      <c r="M531" s="636">
        <f t="shared" si="284"/>
        <v>36548.443500000008</v>
      </c>
    </row>
    <row r="532" spans="1:13" s="796" customFormat="1" ht="12.75">
      <c r="A532" s="637">
        <v>3.0299999999999994</v>
      </c>
      <c r="B532" s="659" t="s">
        <v>600</v>
      </c>
      <c r="C532" s="660">
        <v>13.5</v>
      </c>
      <c r="D532" s="661" t="s">
        <v>30</v>
      </c>
      <c r="E532" s="662">
        <v>156.08999999999995</v>
      </c>
      <c r="F532" s="641">
        <f t="shared" si="280"/>
        <v>2107.2149999999992</v>
      </c>
      <c r="G532" s="632"/>
      <c r="H532" s="632">
        <f t="shared" si="255"/>
        <v>13.5</v>
      </c>
      <c r="I532" s="642">
        <f t="shared" si="281"/>
        <v>13.5</v>
      </c>
      <c r="J532" s="643">
        <f t="shared" si="282"/>
        <v>1</v>
      </c>
      <c r="K532" s="636"/>
      <c r="L532" s="636">
        <f t="shared" si="283"/>
        <v>2107.2149999999992</v>
      </c>
      <c r="M532" s="636">
        <f t="shared" si="284"/>
        <v>2107.2149999999992</v>
      </c>
    </row>
    <row r="533" spans="1:13">
      <c r="A533" s="637"/>
      <c r="B533" s="663"/>
      <c r="C533" s="664"/>
      <c r="D533" s="665"/>
      <c r="E533" s="666"/>
      <c r="F533" s="772">
        <f>+SUBTOTAL(9,F530:F532)</f>
        <v>63287.59350000001</v>
      </c>
      <c r="G533" s="632"/>
      <c r="H533" s="632"/>
      <c r="I533" s="642"/>
      <c r="J533" s="652"/>
      <c r="K533" s="657">
        <f>+SUBTOTAL(9,K530:K532)</f>
        <v>0</v>
      </c>
      <c r="L533" s="657">
        <f t="shared" ref="L533:M533" si="285">+SUBTOTAL(9,L530:L532)</f>
        <v>63287.59350000001</v>
      </c>
      <c r="M533" s="657">
        <f t="shared" si="285"/>
        <v>63287.59350000001</v>
      </c>
    </row>
    <row r="534" spans="1:13" s="101" customFormat="1" ht="12.75">
      <c r="A534" s="628">
        <v>4</v>
      </c>
      <c r="B534" s="663" t="s">
        <v>675</v>
      </c>
      <c r="C534" s="664"/>
      <c r="D534" s="665"/>
      <c r="E534" s="666"/>
      <c r="F534" s="772"/>
      <c r="G534" s="777"/>
      <c r="H534" s="632"/>
      <c r="I534" s="780"/>
      <c r="J534" s="793"/>
      <c r="K534" s="657"/>
      <c r="L534" s="657"/>
      <c r="M534" s="657"/>
    </row>
    <row r="535" spans="1:13" s="796" customFormat="1" ht="12.75">
      <c r="A535" s="637">
        <v>4.01</v>
      </c>
      <c r="B535" s="659" t="s">
        <v>676</v>
      </c>
      <c r="C535" s="660">
        <v>16</v>
      </c>
      <c r="D535" s="661" t="s">
        <v>189</v>
      </c>
      <c r="E535" s="662">
        <v>4567.0950000000003</v>
      </c>
      <c r="F535" s="641">
        <f t="shared" ref="F535:F540" si="286">+E535*C535</f>
        <v>73073.52</v>
      </c>
      <c r="G535" s="632"/>
      <c r="H535" s="632">
        <f t="shared" si="255"/>
        <v>16</v>
      </c>
      <c r="I535" s="642">
        <f t="shared" ref="I535:I540" si="287">+H535+G535</f>
        <v>16</v>
      </c>
      <c r="J535" s="643">
        <f t="shared" ref="J535:J540" si="288">I535/C535</f>
        <v>1</v>
      </c>
      <c r="K535" s="636"/>
      <c r="L535" s="636">
        <f t="shared" ref="L535:L540" si="289">+H535*E535</f>
        <v>73073.52</v>
      </c>
      <c r="M535" s="636">
        <f t="shared" ref="M535:M540" si="290">K535+L535</f>
        <v>73073.52</v>
      </c>
    </row>
    <row r="536" spans="1:13" s="796" customFormat="1" ht="12.75">
      <c r="A536" s="637">
        <v>4.0199999999999996</v>
      </c>
      <c r="B536" s="659" t="s">
        <v>603</v>
      </c>
      <c r="C536" s="660">
        <v>1.3</v>
      </c>
      <c r="D536" s="661" t="s">
        <v>189</v>
      </c>
      <c r="E536" s="662">
        <v>4617.0950000000003</v>
      </c>
      <c r="F536" s="641">
        <f t="shared" si="286"/>
        <v>6002.223500000001</v>
      </c>
      <c r="G536" s="632"/>
      <c r="H536" s="632">
        <f t="shared" si="255"/>
        <v>1.3</v>
      </c>
      <c r="I536" s="642">
        <f t="shared" si="287"/>
        <v>1.3</v>
      </c>
      <c r="J536" s="643">
        <f t="shared" si="288"/>
        <v>1</v>
      </c>
      <c r="K536" s="636"/>
      <c r="L536" s="636">
        <f t="shared" si="289"/>
        <v>6002.223500000001</v>
      </c>
      <c r="M536" s="636">
        <f t="shared" si="290"/>
        <v>6002.223500000001</v>
      </c>
    </row>
    <row r="537" spans="1:13" s="796" customFormat="1" ht="12.75">
      <c r="A537" s="637">
        <v>4.0299999999999994</v>
      </c>
      <c r="B537" s="659" t="s">
        <v>604</v>
      </c>
      <c r="C537" s="660">
        <v>1620.0250000000001</v>
      </c>
      <c r="D537" s="661" t="s">
        <v>605</v>
      </c>
      <c r="E537" s="662">
        <v>649</v>
      </c>
      <c r="F537" s="641">
        <f t="shared" si="286"/>
        <v>1051396.2250000001</v>
      </c>
      <c r="G537" s="632"/>
      <c r="H537" s="632">
        <f t="shared" si="255"/>
        <v>1620.0250000000001</v>
      </c>
      <c r="I537" s="642">
        <f t="shared" si="287"/>
        <v>1620.0250000000001</v>
      </c>
      <c r="J537" s="643">
        <f t="shared" si="288"/>
        <v>1</v>
      </c>
      <c r="K537" s="636"/>
      <c r="L537" s="636">
        <f t="shared" si="289"/>
        <v>1051396.2250000001</v>
      </c>
      <c r="M537" s="636">
        <f t="shared" si="290"/>
        <v>1051396.2250000001</v>
      </c>
    </row>
    <row r="538" spans="1:13" s="796" customFormat="1" ht="12.75">
      <c r="A538" s="637">
        <v>4.0399999999999991</v>
      </c>
      <c r="B538" s="659" t="s">
        <v>606</v>
      </c>
      <c r="C538" s="660">
        <v>83.594999999999999</v>
      </c>
      <c r="D538" s="661" t="s">
        <v>189</v>
      </c>
      <c r="E538" s="662">
        <v>6983.24</v>
      </c>
      <c r="F538" s="641">
        <f t="shared" si="286"/>
        <v>583763.94779999997</v>
      </c>
      <c r="G538" s="632"/>
      <c r="H538" s="632">
        <f t="shared" si="255"/>
        <v>83.594999999999999</v>
      </c>
      <c r="I538" s="642">
        <f t="shared" si="287"/>
        <v>83.594999999999999</v>
      </c>
      <c r="J538" s="643">
        <f t="shared" si="288"/>
        <v>1</v>
      </c>
      <c r="K538" s="636"/>
      <c r="L538" s="636">
        <f t="shared" si="289"/>
        <v>583763.94779999997</v>
      </c>
      <c r="M538" s="636">
        <f t="shared" si="290"/>
        <v>583763.94779999997</v>
      </c>
    </row>
    <row r="539" spans="1:13" s="796" customFormat="1" ht="12.75">
      <c r="A539" s="637">
        <v>4.0499999999999989</v>
      </c>
      <c r="B539" s="659" t="s">
        <v>607</v>
      </c>
      <c r="C539" s="660">
        <v>9</v>
      </c>
      <c r="D539" s="661" t="s">
        <v>189</v>
      </c>
      <c r="E539" s="662">
        <v>798.38811383928521</v>
      </c>
      <c r="F539" s="641">
        <f t="shared" si="286"/>
        <v>7185.493024553567</v>
      </c>
      <c r="G539" s="632"/>
      <c r="H539" s="632">
        <f t="shared" si="255"/>
        <v>9</v>
      </c>
      <c r="I539" s="642">
        <f t="shared" si="287"/>
        <v>9</v>
      </c>
      <c r="J539" s="643">
        <f t="shared" si="288"/>
        <v>1</v>
      </c>
      <c r="K539" s="636"/>
      <c r="L539" s="636">
        <f t="shared" si="289"/>
        <v>7185.493024553567</v>
      </c>
      <c r="M539" s="636">
        <f t="shared" si="290"/>
        <v>7185.493024553567</v>
      </c>
    </row>
    <row r="540" spans="1:13" s="796" customFormat="1" ht="12.75">
      <c r="A540" s="637">
        <v>4.0599999999999987</v>
      </c>
      <c r="B540" s="659" t="s">
        <v>608</v>
      </c>
      <c r="C540" s="660">
        <v>17.5</v>
      </c>
      <c r="D540" s="661" t="s">
        <v>189</v>
      </c>
      <c r="E540" s="662">
        <v>145.2730241672111</v>
      </c>
      <c r="F540" s="641">
        <f t="shared" si="286"/>
        <v>2542.2779229261942</v>
      </c>
      <c r="G540" s="632"/>
      <c r="H540" s="632">
        <f t="shared" si="255"/>
        <v>17.5</v>
      </c>
      <c r="I540" s="642">
        <f t="shared" si="287"/>
        <v>17.5</v>
      </c>
      <c r="J540" s="643">
        <f t="shared" si="288"/>
        <v>1</v>
      </c>
      <c r="K540" s="636"/>
      <c r="L540" s="636">
        <f t="shared" si="289"/>
        <v>2542.2779229261942</v>
      </c>
      <c r="M540" s="636">
        <f t="shared" si="290"/>
        <v>2542.2779229261942</v>
      </c>
    </row>
    <row r="541" spans="1:13">
      <c r="A541" s="637"/>
      <c r="B541" s="663"/>
      <c r="C541" s="664"/>
      <c r="D541" s="665"/>
      <c r="E541" s="666"/>
      <c r="F541" s="772">
        <f>+SUBTOTAL(9,F535:F540)</f>
        <v>1723963.68724748</v>
      </c>
      <c r="G541" s="632"/>
      <c r="H541" s="632"/>
      <c r="I541" s="642"/>
      <c r="J541" s="652"/>
      <c r="K541" s="657">
        <f>+SUBTOTAL(9,K535:K540)</f>
        <v>0</v>
      </c>
      <c r="L541" s="657">
        <f t="shared" ref="L541:M541" si="291">+SUBTOTAL(9,L535:L540)</f>
        <v>1723963.68724748</v>
      </c>
      <c r="M541" s="657">
        <f t="shared" si="291"/>
        <v>1723963.68724748</v>
      </c>
    </row>
    <row r="542" spans="1:13">
      <c r="A542" s="637"/>
      <c r="B542" s="663"/>
      <c r="C542" s="664"/>
      <c r="D542" s="665"/>
      <c r="E542" s="666"/>
      <c r="F542" s="772"/>
      <c r="G542" s="632"/>
      <c r="H542" s="632"/>
      <c r="I542" s="642"/>
      <c r="J542" s="652"/>
      <c r="K542" s="657"/>
      <c r="L542" s="657"/>
      <c r="M542" s="657"/>
    </row>
    <row r="543" spans="1:13" s="101" customFormat="1" ht="12.75">
      <c r="A543" s="628">
        <v>5</v>
      </c>
      <c r="B543" s="663" t="s">
        <v>609</v>
      </c>
      <c r="C543" s="664"/>
      <c r="D543" s="665"/>
      <c r="E543" s="666"/>
      <c r="F543" s="772"/>
      <c r="G543" s="777"/>
      <c r="H543" s="632"/>
      <c r="I543" s="780"/>
      <c r="J543" s="793"/>
      <c r="K543" s="657"/>
      <c r="L543" s="657"/>
      <c r="M543" s="657"/>
    </row>
    <row r="544" spans="1:13" s="796" customFormat="1" ht="12.75">
      <c r="A544" s="637">
        <v>5.01</v>
      </c>
      <c r="B544" s="659" t="s">
        <v>610</v>
      </c>
      <c r="C544" s="660">
        <v>252</v>
      </c>
      <c r="D544" s="661" t="s">
        <v>189</v>
      </c>
      <c r="E544" s="662">
        <v>4565.3350000000009</v>
      </c>
      <c r="F544" s="641">
        <f t="shared" ref="F544:F546" si="292">+E544*C544</f>
        <v>1150464.4200000002</v>
      </c>
      <c r="G544" s="632"/>
      <c r="H544" s="632">
        <f t="shared" si="255"/>
        <v>252</v>
      </c>
      <c r="I544" s="642">
        <f t="shared" ref="I544:I546" si="293">+H544+G544</f>
        <v>252</v>
      </c>
      <c r="J544" s="643">
        <f t="shared" ref="J544:J546" si="294">I544/C544</f>
        <v>1</v>
      </c>
      <c r="K544" s="636"/>
      <c r="L544" s="636">
        <f t="shared" ref="L544:L546" si="295">+H544*E544</f>
        <v>1150464.4200000002</v>
      </c>
      <c r="M544" s="636">
        <f t="shared" ref="M544:M546" si="296">K544+L544</f>
        <v>1150464.4200000002</v>
      </c>
    </row>
    <row r="545" spans="1:13" s="796" customFormat="1" ht="12.75">
      <c r="A545" s="637">
        <v>5.0199999999999996</v>
      </c>
      <c r="B545" s="659" t="s">
        <v>611</v>
      </c>
      <c r="C545" s="660">
        <v>117.5</v>
      </c>
      <c r="D545" s="661" t="s">
        <v>30</v>
      </c>
      <c r="E545" s="662">
        <v>554.64479999999992</v>
      </c>
      <c r="F545" s="641">
        <f t="shared" si="292"/>
        <v>65170.763999999988</v>
      </c>
      <c r="G545" s="632"/>
      <c r="H545" s="632">
        <f t="shared" si="255"/>
        <v>117.5</v>
      </c>
      <c r="I545" s="642">
        <f t="shared" si="293"/>
        <v>117.5</v>
      </c>
      <c r="J545" s="643">
        <f t="shared" si="294"/>
        <v>1</v>
      </c>
      <c r="K545" s="636"/>
      <c r="L545" s="636">
        <f t="shared" si="295"/>
        <v>65170.763999999988</v>
      </c>
      <c r="M545" s="636">
        <f t="shared" si="296"/>
        <v>65170.763999999988</v>
      </c>
    </row>
    <row r="546" spans="1:13" s="796" customFormat="1" ht="12.75">
      <c r="A546" s="637">
        <v>5.0299999999999994</v>
      </c>
      <c r="B546" s="659" t="s">
        <v>677</v>
      </c>
      <c r="C546" s="660">
        <v>17.5</v>
      </c>
      <c r="D546" s="661" t="s">
        <v>189</v>
      </c>
      <c r="E546" s="662">
        <v>4417.415</v>
      </c>
      <c r="F546" s="641">
        <f t="shared" si="292"/>
        <v>77304.762499999997</v>
      </c>
      <c r="G546" s="632"/>
      <c r="H546" s="632">
        <f t="shared" si="255"/>
        <v>17.5</v>
      </c>
      <c r="I546" s="642">
        <f t="shared" si="293"/>
        <v>17.5</v>
      </c>
      <c r="J546" s="643">
        <f t="shared" si="294"/>
        <v>1</v>
      </c>
      <c r="K546" s="636"/>
      <c r="L546" s="636">
        <f t="shared" si="295"/>
        <v>77304.762499999997</v>
      </c>
      <c r="M546" s="636">
        <f t="shared" si="296"/>
        <v>77304.762499999997</v>
      </c>
    </row>
    <row r="547" spans="1:13">
      <c r="A547" s="637"/>
      <c r="B547" s="663"/>
      <c r="C547" s="664"/>
      <c r="D547" s="665"/>
      <c r="E547" s="666"/>
      <c r="F547" s="772">
        <f>+SUBTOTAL(9,F544:F546)</f>
        <v>1292939.9465000001</v>
      </c>
      <c r="G547" s="632"/>
      <c r="H547" s="632"/>
      <c r="I547" s="642"/>
      <c r="J547" s="652"/>
      <c r="K547" s="657">
        <f>+SUBTOTAL(9,K544:K546)</f>
        <v>0</v>
      </c>
      <c r="L547" s="657">
        <f t="shared" ref="L547:M547" si="297">+SUBTOTAL(9,L544:L546)</f>
        <v>1292939.9465000001</v>
      </c>
      <c r="M547" s="657">
        <f t="shared" si="297"/>
        <v>1292939.9465000001</v>
      </c>
    </row>
    <row r="548" spans="1:13" s="101" customFormat="1" ht="12.75">
      <c r="A548" s="628">
        <v>10</v>
      </c>
      <c r="B548" s="663" t="s">
        <v>623</v>
      </c>
      <c r="C548" s="664"/>
      <c r="D548" s="665"/>
      <c r="E548" s="666"/>
      <c r="F548" s="772"/>
      <c r="G548" s="777"/>
      <c r="H548" s="632"/>
      <c r="I548" s="780"/>
      <c r="J548" s="793"/>
      <c r="K548" s="657"/>
      <c r="L548" s="657"/>
      <c r="M548" s="657"/>
    </row>
    <row r="549" spans="1:13" s="796" customFormat="1" ht="12.75">
      <c r="A549" s="637">
        <v>10.01</v>
      </c>
      <c r="B549" s="659" t="s">
        <v>624</v>
      </c>
      <c r="C549" s="660"/>
      <c r="D549" s="661"/>
      <c r="E549" s="662"/>
      <c r="F549" s="794"/>
      <c r="G549" s="632"/>
      <c r="H549" s="632"/>
      <c r="I549" s="642"/>
      <c r="J549" s="652"/>
      <c r="K549" s="795"/>
      <c r="L549" s="795"/>
      <c r="M549" s="795"/>
    </row>
    <row r="550" spans="1:13" s="796" customFormat="1" ht="12.75">
      <c r="A550" s="637" t="s">
        <v>687</v>
      </c>
      <c r="B550" s="659" t="s">
        <v>625</v>
      </c>
      <c r="C550" s="660">
        <v>2.7</v>
      </c>
      <c r="D550" s="661" t="s">
        <v>189</v>
      </c>
      <c r="E550" s="662">
        <v>2050.4444444444448</v>
      </c>
      <c r="F550" s="641">
        <f t="shared" ref="F550:F556" si="298">+E550*C550</f>
        <v>5536.2000000000016</v>
      </c>
      <c r="G550" s="632"/>
      <c r="H550" s="632">
        <f t="shared" si="255"/>
        <v>2.7</v>
      </c>
      <c r="I550" s="642">
        <f t="shared" ref="I550:I556" si="299">+H550+G550</f>
        <v>2.7</v>
      </c>
      <c r="J550" s="643">
        <f t="shared" ref="J550:J556" si="300">I550/C550</f>
        <v>1</v>
      </c>
      <c r="K550" s="636"/>
      <c r="L550" s="636">
        <f t="shared" ref="L550:L556" si="301">+H550*E550</f>
        <v>5536.2000000000016</v>
      </c>
      <c r="M550" s="636">
        <f t="shared" ref="M550:M556" si="302">K550+L550</f>
        <v>5536.2000000000016</v>
      </c>
    </row>
    <row r="551" spans="1:13" s="796" customFormat="1" ht="12.75">
      <c r="A551" s="637" t="s">
        <v>670</v>
      </c>
      <c r="B551" s="659" t="s">
        <v>626</v>
      </c>
      <c r="C551" s="660">
        <v>3</v>
      </c>
      <c r="D551" s="661" t="s">
        <v>32</v>
      </c>
      <c r="E551" s="662">
        <v>3209.1899999999973</v>
      </c>
      <c r="F551" s="641">
        <f t="shared" si="298"/>
        <v>9627.5699999999924</v>
      </c>
      <c r="G551" s="632"/>
      <c r="H551" s="632">
        <f t="shared" si="255"/>
        <v>3</v>
      </c>
      <c r="I551" s="642">
        <f t="shared" si="299"/>
        <v>3</v>
      </c>
      <c r="J551" s="643">
        <f t="shared" si="300"/>
        <v>1</v>
      </c>
      <c r="K551" s="636"/>
      <c r="L551" s="636">
        <f t="shared" si="301"/>
        <v>9627.5699999999924</v>
      </c>
      <c r="M551" s="636">
        <f t="shared" si="302"/>
        <v>9627.5699999999924</v>
      </c>
    </row>
    <row r="552" spans="1:13" s="796" customFormat="1" ht="12.75">
      <c r="A552" s="637" t="s">
        <v>671</v>
      </c>
      <c r="B552" s="659" t="s">
        <v>627</v>
      </c>
      <c r="C552" s="660">
        <v>4</v>
      </c>
      <c r="D552" s="661" t="s">
        <v>32</v>
      </c>
      <c r="E552" s="662">
        <v>8421.9799999999977</v>
      </c>
      <c r="F552" s="641">
        <f t="shared" si="298"/>
        <v>33687.919999999991</v>
      </c>
      <c r="G552" s="632"/>
      <c r="H552" s="632">
        <f t="shared" si="255"/>
        <v>4</v>
      </c>
      <c r="I552" s="642">
        <f t="shared" si="299"/>
        <v>4</v>
      </c>
      <c r="J552" s="643">
        <f t="shared" si="300"/>
        <v>1</v>
      </c>
      <c r="K552" s="636"/>
      <c r="L552" s="636">
        <f t="shared" si="301"/>
        <v>33687.919999999991</v>
      </c>
      <c r="M552" s="636">
        <f t="shared" si="302"/>
        <v>33687.919999999991</v>
      </c>
    </row>
    <row r="553" spans="1:13" s="796" customFormat="1" ht="12.75">
      <c r="A553" s="637" t="s">
        <v>672</v>
      </c>
      <c r="B553" s="659" t="s">
        <v>673</v>
      </c>
      <c r="C553" s="660">
        <v>1</v>
      </c>
      <c r="D553" s="661" t="s">
        <v>32</v>
      </c>
      <c r="E553" s="662">
        <v>1117.73</v>
      </c>
      <c r="F553" s="641">
        <f t="shared" si="298"/>
        <v>1117.73</v>
      </c>
      <c r="G553" s="632"/>
      <c r="H553" s="632">
        <f t="shared" si="255"/>
        <v>1</v>
      </c>
      <c r="I553" s="642">
        <f t="shared" si="299"/>
        <v>1</v>
      </c>
      <c r="J553" s="643">
        <f t="shared" si="300"/>
        <v>1</v>
      </c>
      <c r="K553" s="636"/>
      <c r="L553" s="636">
        <f t="shared" si="301"/>
        <v>1117.73</v>
      </c>
      <c r="M553" s="636">
        <f t="shared" si="302"/>
        <v>1117.73</v>
      </c>
    </row>
    <row r="554" spans="1:13" s="796" customFormat="1" ht="12.75">
      <c r="A554" s="637" t="s">
        <v>680</v>
      </c>
      <c r="B554" s="659" t="s">
        <v>629</v>
      </c>
      <c r="C554" s="660">
        <v>1</v>
      </c>
      <c r="D554" s="661" t="s">
        <v>32</v>
      </c>
      <c r="E554" s="662">
        <v>7155.7100000000009</v>
      </c>
      <c r="F554" s="641">
        <f t="shared" si="298"/>
        <v>7155.7100000000009</v>
      </c>
      <c r="G554" s="632"/>
      <c r="H554" s="632">
        <f t="shared" si="255"/>
        <v>1</v>
      </c>
      <c r="I554" s="642">
        <f t="shared" si="299"/>
        <v>1</v>
      </c>
      <c r="J554" s="643">
        <f t="shared" si="300"/>
        <v>1</v>
      </c>
      <c r="K554" s="636"/>
      <c r="L554" s="636">
        <f t="shared" si="301"/>
        <v>7155.7100000000009</v>
      </c>
      <c r="M554" s="636">
        <f t="shared" si="302"/>
        <v>7155.7100000000009</v>
      </c>
    </row>
    <row r="555" spans="1:13" s="796" customFormat="1" ht="12.75">
      <c r="A555" s="637" t="s">
        <v>681</v>
      </c>
      <c r="B555" s="659" t="s">
        <v>688</v>
      </c>
      <c r="C555" s="660">
        <v>0.5</v>
      </c>
      <c r="D555" s="661" t="s">
        <v>32</v>
      </c>
      <c r="E555" s="662">
        <v>716.60999999999967</v>
      </c>
      <c r="F555" s="641">
        <f t="shared" si="298"/>
        <v>358.30499999999984</v>
      </c>
      <c r="G555" s="632"/>
      <c r="H555" s="632">
        <f t="shared" si="255"/>
        <v>0.5</v>
      </c>
      <c r="I555" s="642">
        <f t="shared" si="299"/>
        <v>0.5</v>
      </c>
      <c r="J555" s="643">
        <f t="shared" si="300"/>
        <v>1</v>
      </c>
      <c r="K555" s="636"/>
      <c r="L555" s="636">
        <f t="shared" si="301"/>
        <v>358.30499999999984</v>
      </c>
      <c r="M555" s="636">
        <f t="shared" si="302"/>
        <v>358.30499999999984</v>
      </c>
    </row>
    <row r="556" spans="1:13" s="796" customFormat="1" ht="12.75">
      <c r="A556" s="637" t="s">
        <v>689</v>
      </c>
      <c r="B556" s="659" t="s">
        <v>631</v>
      </c>
      <c r="C556" s="660">
        <v>0.5</v>
      </c>
      <c r="D556" s="661" t="s">
        <v>88</v>
      </c>
      <c r="E556" s="662">
        <v>112800</v>
      </c>
      <c r="F556" s="641">
        <f t="shared" si="298"/>
        <v>56400</v>
      </c>
      <c r="G556" s="632"/>
      <c r="H556" s="632">
        <f t="shared" si="255"/>
        <v>0.5</v>
      </c>
      <c r="I556" s="642">
        <f t="shared" si="299"/>
        <v>0.5</v>
      </c>
      <c r="J556" s="643">
        <f t="shared" si="300"/>
        <v>1</v>
      </c>
      <c r="K556" s="636"/>
      <c r="L556" s="636">
        <f t="shared" si="301"/>
        <v>56400</v>
      </c>
      <c r="M556" s="636">
        <f t="shared" si="302"/>
        <v>56400</v>
      </c>
    </row>
    <row r="557" spans="1:13" s="796" customFormat="1" ht="12.75">
      <c r="A557" s="637">
        <v>10.02</v>
      </c>
      <c r="B557" s="659" t="s">
        <v>632</v>
      </c>
      <c r="C557" s="660"/>
      <c r="D557" s="661"/>
      <c r="E557" s="662"/>
      <c r="F557" s="794"/>
      <c r="G557" s="632"/>
      <c r="H557" s="632"/>
      <c r="I557" s="642"/>
      <c r="J557" s="652"/>
      <c r="K557" s="795"/>
      <c r="L557" s="795"/>
      <c r="M557" s="795"/>
    </row>
    <row r="558" spans="1:13" s="796" customFormat="1" ht="12.75">
      <c r="A558" s="637" t="s">
        <v>682</v>
      </c>
      <c r="B558" s="659" t="s">
        <v>633</v>
      </c>
      <c r="C558" s="660">
        <v>5</v>
      </c>
      <c r="D558" s="661" t="s">
        <v>353</v>
      </c>
      <c r="E558" s="662">
        <v>2195.0039999999999</v>
      </c>
      <c r="F558" s="641">
        <f t="shared" ref="F558:F561" si="303">+E558*C558</f>
        <v>10975.02</v>
      </c>
      <c r="G558" s="632"/>
      <c r="H558" s="632">
        <f t="shared" si="255"/>
        <v>5</v>
      </c>
      <c r="I558" s="642">
        <f t="shared" ref="I558:I561" si="304">+H558+G558</f>
        <v>5</v>
      </c>
      <c r="J558" s="643">
        <f t="shared" ref="J558:J561" si="305">I558/C558</f>
        <v>1</v>
      </c>
      <c r="K558" s="636"/>
      <c r="L558" s="636">
        <f t="shared" ref="L558:L561" si="306">+H558*E558</f>
        <v>10975.02</v>
      </c>
      <c r="M558" s="636">
        <f t="shared" ref="M558:M561" si="307">K558+L558</f>
        <v>10975.02</v>
      </c>
    </row>
    <row r="559" spans="1:13" s="796" customFormat="1" ht="12.75">
      <c r="A559" s="637" t="s">
        <v>683</v>
      </c>
      <c r="B559" s="659" t="s">
        <v>625</v>
      </c>
      <c r="C559" s="660">
        <v>0.6</v>
      </c>
      <c r="D559" s="661" t="s">
        <v>189</v>
      </c>
      <c r="E559" s="662">
        <v>2142.8600000000006</v>
      </c>
      <c r="F559" s="641">
        <f t="shared" si="303"/>
        <v>1285.7160000000003</v>
      </c>
      <c r="G559" s="632"/>
      <c r="H559" s="632">
        <f t="shared" ref="H559:H583" si="308">+C559</f>
        <v>0.6</v>
      </c>
      <c r="I559" s="642">
        <f t="shared" si="304"/>
        <v>0.6</v>
      </c>
      <c r="J559" s="643">
        <f t="shared" si="305"/>
        <v>1</v>
      </c>
      <c r="K559" s="636"/>
      <c r="L559" s="636">
        <f t="shared" si="306"/>
        <v>1285.7160000000003</v>
      </c>
      <c r="M559" s="636">
        <f t="shared" si="307"/>
        <v>1285.7160000000003</v>
      </c>
    </row>
    <row r="560" spans="1:13" s="796" customFormat="1" ht="12.75">
      <c r="A560" s="637" t="s">
        <v>684</v>
      </c>
      <c r="B560" s="659" t="s">
        <v>634</v>
      </c>
      <c r="C560" s="660">
        <v>0.5</v>
      </c>
      <c r="D560" s="661" t="s">
        <v>32</v>
      </c>
      <c r="E560" s="662">
        <v>4275.0400000000009</v>
      </c>
      <c r="F560" s="641">
        <f t="shared" si="303"/>
        <v>2137.5200000000004</v>
      </c>
      <c r="G560" s="632"/>
      <c r="H560" s="632">
        <f t="shared" si="308"/>
        <v>0.5</v>
      </c>
      <c r="I560" s="642">
        <f t="shared" si="304"/>
        <v>0.5</v>
      </c>
      <c r="J560" s="643">
        <f t="shared" si="305"/>
        <v>1</v>
      </c>
      <c r="K560" s="636"/>
      <c r="L560" s="636">
        <f t="shared" si="306"/>
        <v>2137.5200000000004</v>
      </c>
      <c r="M560" s="636">
        <f t="shared" si="307"/>
        <v>2137.5200000000004</v>
      </c>
    </row>
    <row r="561" spans="1:13" s="796" customFormat="1" ht="12.75">
      <c r="A561" s="637" t="s">
        <v>685</v>
      </c>
      <c r="B561" s="659" t="s">
        <v>688</v>
      </c>
      <c r="C561" s="660">
        <v>0.5</v>
      </c>
      <c r="D561" s="661" t="s">
        <v>32</v>
      </c>
      <c r="E561" s="662">
        <v>716.60999999999967</v>
      </c>
      <c r="F561" s="641">
        <f t="shared" si="303"/>
        <v>358.30499999999984</v>
      </c>
      <c r="G561" s="632"/>
      <c r="H561" s="632">
        <f t="shared" si="308"/>
        <v>0.5</v>
      </c>
      <c r="I561" s="642">
        <f t="shared" si="304"/>
        <v>0.5</v>
      </c>
      <c r="J561" s="643">
        <f t="shared" si="305"/>
        <v>1</v>
      </c>
      <c r="K561" s="636"/>
      <c r="L561" s="636">
        <f t="shared" si="306"/>
        <v>358.30499999999984</v>
      </c>
      <c r="M561" s="636">
        <f t="shared" si="307"/>
        <v>358.30499999999984</v>
      </c>
    </row>
    <row r="562" spans="1:13">
      <c r="A562" s="637"/>
      <c r="B562" s="663"/>
      <c r="C562" s="664"/>
      <c r="D562" s="665"/>
      <c r="E562" s="666"/>
      <c r="F562" s="772">
        <f>+SUBTOTAL(9,F550:F561)</f>
        <v>128639.996</v>
      </c>
      <c r="G562" s="632"/>
      <c r="H562" s="632"/>
      <c r="I562" s="642"/>
      <c r="J562" s="652"/>
      <c r="K562" s="657">
        <f>+SUBTOTAL(9,K550:K561)</f>
        <v>0</v>
      </c>
      <c r="L562" s="657">
        <f t="shared" ref="L562:M562" si="309">+SUBTOTAL(9,L550:L561)</f>
        <v>128639.996</v>
      </c>
      <c r="M562" s="657">
        <f t="shared" si="309"/>
        <v>128639.996</v>
      </c>
    </row>
    <row r="563" spans="1:13" s="101" customFormat="1" ht="12.75">
      <c r="A563" s="628">
        <v>11</v>
      </c>
      <c r="B563" s="663" t="s">
        <v>636</v>
      </c>
      <c r="C563" s="664"/>
      <c r="D563" s="665"/>
      <c r="E563" s="666"/>
      <c r="F563" s="772"/>
      <c r="G563" s="777"/>
      <c r="H563" s="632"/>
      <c r="I563" s="780"/>
      <c r="J563" s="793"/>
      <c r="K563" s="657"/>
      <c r="L563" s="657"/>
      <c r="M563" s="657"/>
    </row>
    <row r="564" spans="1:13" s="796" customFormat="1" ht="12.75">
      <c r="A564" s="637">
        <v>11.01</v>
      </c>
      <c r="B564" s="659" t="s">
        <v>637</v>
      </c>
      <c r="C564" s="660">
        <v>25</v>
      </c>
      <c r="D564" s="661" t="s">
        <v>32</v>
      </c>
      <c r="E564" s="662">
        <v>497.10600000000034</v>
      </c>
      <c r="F564" s="641">
        <f t="shared" ref="F564:F572" si="310">+E564*C564</f>
        <v>12427.650000000009</v>
      </c>
      <c r="G564" s="632"/>
      <c r="H564" s="632">
        <f t="shared" si="308"/>
        <v>25</v>
      </c>
      <c r="I564" s="642">
        <f t="shared" ref="I564:I572" si="311">+H564+G564</f>
        <v>25</v>
      </c>
      <c r="J564" s="643">
        <f t="shared" ref="J564:J572" si="312">I564/C564</f>
        <v>1</v>
      </c>
      <c r="K564" s="636"/>
      <c r="L564" s="636">
        <f t="shared" ref="L564:L572" si="313">+H564*E564</f>
        <v>12427.650000000009</v>
      </c>
      <c r="M564" s="636">
        <f t="shared" ref="M564:M572" si="314">K564+L564</f>
        <v>12427.650000000009</v>
      </c>
    </row>
    <row r="565" spans="1:13" s="796" customFormat="1" ht="12.75">
      <c r="A565" s="637">
        <v>11.02</v>
      </c>
      <c r="B565" s="659" t="s">
        <v>638</v>
      </c>
      <c r="C565" s="660">
        <v>6</v>
      </c>
      <c r="D565" s="661" t="s">
        <v>32</v>
      </c>
      <c r="E565" s="662">
        <v>543.6</v>
      </c>
      <c r="F565" s="641">
        <f t="shared" si="310"/>
        <v>3261.6000000000004</v>
      </c>
      <c r="G565" s="632"/>
      <c r="H565" s="632">
        <f t="shared" si="308"/>
        <v>6</v>
      </c>
      <c r="I565" s="642">
        <f t="shared" si="311"/>
        <v>6</v>
      </c>
      <c r="J565" s="643">
        <f t="shared" si="312"/>
        <v>1</v>
      </c>
      <c r="K565" s="636"/>
      <c r="L565" s="636">
        <f t="shared" si="313"/>
        <v>3261.6000000000004</v>
      </c>
      <c r="M565" s="636">
        <f t="shared" si="314"/>
        <v>3261.6000000000004</v>
      </c>
    </row>
    <row r="566" spans="1:13" s="796" customFormat="1" ht="12.75">
      <c r="A566" s="637">
        <v>11.03</v>
      </c>
      <c r="B566" s="659" t="s">
        <v>639</v>
      </c>
      <c r="C566" s="660">
        <v>1</v>
      </c>
      <c r="D566" s="661" t="s">
        <v>32</v>
      </c>
      <c r="E566" s="662">
        <v>720.18000000000029</v>
      </c>
      <c r="F566" s="641">
        <f t="shared" si="310"/>
        <v>720.18000000000029</v>
      </c>
      <c r="G566" s="632"/>
      <c r="H566" s="632">
        <f t="shared" si="308"/>
        <v>1</v>
      </c>
      <c r="I566" s="642">
        <f t="shared" si="311"/>
        <v>1</v>
      </c>
      <c r="J566" s="643">
        <f t="shared" si="312"/>
        <v>1</v>
      </c>
      <c r="K566" s="636"/>
      <c r="L566" s="636">
        <f t="shared" si="313"/>
        <v>720.18000000000029</v>
      </c>
      <c r="M566" s="636">
        <f t="shared" si="314"/>
        <v>720.18000000000029</v>
      </c>
    </row>
    <row r="567" spans="1:13" s="796" customFormat="1" ht="12.75">
      <c r="A567" s="637">
        <v>11.04</v>
      </c>
      <c r="B567" s="659" t="s">
        <v>640</v>
      </c>
      <c r="C567" s="660">
        <v>0.5</v>
      </c>
      <c r="D567" s="661" t="s">
        <v>32</v>
      </c>
      <c r="E567" s="662">
        <v>870.11599999999953</v>
      </c>
      <c r="F567" s="641">
        <f t="shared" si="310"/>
        <v>435.05799999999977</v>
      </c>
      <c r="G567" s="632"/>
      <c r="H567" s="632">
        <f t="shared" si="308"/>
        <v>0.5</v>
      </c>
      <c r="I567" s="642">
        <f t="shared" si="311"/>
        <v>0.5</v>
      </c>
      <c r="J567" s="643">
        <f t="shared" si="312"/>
        <v>1</v>
      </c>
      <c r="K567" s="636"/>
      <c r="L567" s="636">
        <f t="shared" si="313"/>
        <v>435.05799999999977</v>
      </c>
      <c r="M567" s="636">
        <f t="shared" si="314"/>
        <v>435.05799999999977</v>
      </c>
    </row>
    <row r="568" spans="1:13" s="796" customFormat="1" ht="12.75">
      <c r="A568" s="637">
        <v>11.049999999999999</v>
      </c>
      <c r="B568" s="659" t="s">
        <v>641</v>
      </c>
      <c r="C568" s="660">
        <v>1</v>
      </c>
      <c r="D568" s="661" t="s">
        <v>32</v>
      </c>
      <c r="E568" s="662">
        <v>660.37400000000025</v>
      </c>
      <c r="F568" s="641">
        <f t="shared" si="310"/>
        <v>660.37400000000025</v>
      </c>
      <c r="G568" s="632"/>
      <c r="H568" s="632">
        <f t="shared" si="308"/>
        <v>1</v>
      </c>
      <c r="I568" s="642">
        <f t="shared" si="311"/>
        <v>1</v>
      </c>
      <c r="J568" s="643">
        <f t="shared" si="312"/>
        <v>1</v>
      </c>
      <c r="K568" s="636"/>
      <c r="L568" s="636">
        <f t="shared" si="313"/>
        <v>660.37400000000025</v>
      </c>
      <c r="M568" s="636">
        <f t="shared" si="314"/>
        <v>660.37400000000025</v>
      </c>
    </row>
    <row r="569" spans="1:13" s="796" customFormat="1" ht="12.75">
      <c r="A569" s="637">
        <v>11.059999999999999</v>
      </c>
      <c r="B569" s="659" t="s">
        <v>642</v>
      </c>
      <c r="C569" s="660">
        <v>30</v>
      </c>
      <c r="D569" s="661" t="s">
        <v>32</v>
      </c>
      <c r="E569" s="662">
        <v>688.7399999999999</v>
      </c>
      <c r="F569" s="641">
        <f t="shared" si="310"/>
        <v>20662.199999999997</v>
      </c>
      <c r="G569" s="632"/>
      <c r="H569" s="632">
        <f t="shared" si="308"/>
        <v>30</v>
      </c>
      <c r="I569" s="642">
        <f t="shared" si="311"/>
        <v>30</v>
      </c>
      <c r="J569" s="643">
        <f t="shared" si="312"/>
        <v>1</v>
      </c>
      <c r="K569" s="636"/>
      <c r="L569" s="636">
        <f t="shared" si="313"/>
        <v>20662.199999999997</v>
      </c>
      <c r="M569" s="636">
        <f t="shared" si="314"/>
        <v>20662.199999999997</v>
      </c>
    </row>
    <row r="570" spans="1:13" s="796" customFormat="1" ht="12.75">
      <c r="A570" s="637">
        <v>11.069999999999999</v>
      </c>
      <c r="B570" s="659" t="s">
        <v>643</v>
      </c>
      <c r="C570" s="660">
        <v>7.5</v>
      </c>
      <c r="D570" s="661" t="s">
        <v>32</v>
      </c>
      <c r="E570" s="662">
        <v>1311.5259999999994</v>
      </c>
      <c r="F570" s="641">
        <f t="shared" si="310"/>
        <v>9836.4449999999961</v>
      </c>
      <c r="G570" s="632"/>
      <c r="H570" s="632">
        <f t="shared" si="308"/>
        <v>7.5</v>
      </c>
      <c r="I570" s="642">
        <f t="shared" si="311"/>
        <v>7.5</v>
      </c>
      <c r="J570" s="643">
        <f t="shared" si="312"/>
        <v>1</v>
      </c>
      <c r="K570" s="636"/>
      <c r="L570" s="636">
        <f t="shared" si="313"/>
        <v>9836.4449999999961</v>
      </c>
      <c r="M570" s="636">
        <f t="shared" si="314"/>
        <v>9836.4449999999961</v>
      </c>
    </row>
    <row r="571" spans="1:13" s="796" customFormat="1" ht="12.75">
      <c r="A571" s="637">
        <v>11.079999999999998</v>
      </c>
      <c r="B571" s="659" t="s">
        <v>644</v>
      </c>
      <c r="C571" s="660">
        <v>22</v>
      </c>
      <c r="D571" s="661" t="s">
        <v>32</v>
      </c>
      <c r="E571" s="662">
        <v>339.20399999999989</v>
      </c>
      <c r="F571" s="641">
        <f t="shared" si="310"/>
        <v>7462.4879999999976</v>
      </c>
      <c r="G571" s="632"/>
      <c r="H571" s="632">
        <f t="shared" si="308"/>
        <v>22</v>
      </c>
      <c r="I571" s="642">
        <f t="shared" si="311"/>
        <v>22</v>
      </c>
      <c r="J571" s="643">
        <f t="shared" si="312"/>
        <v>1</v>
      </c>
      <c r="K571" s="636"/>
      <c r="L571" s="636">
        <f t="shared" si="313"/>
        <v>7462.4879999999976</v>
      </c>
      <c r="M571" s="636">
        <f t="shared" si="314"/>
        <v>7462.4879999999976</v>
      </c>
    </row>
    <row r="572" spans="1:13" s="796" customFormat="1" ht="12.75">
      <c r="A572" s="637">
        <v>11.089999999999998</v>
      </c>
      <c r="B572" s="659" t="s">
        <v>645</v>
      </c>
      <c r="C572" s="660">
        <v>0.5</v>
      </c>
      <c r="D572" s="661" t="s">
        <v>32</v>
      </c>
      <c r="E572" s="662">
        <v>8650.1759999999995</v>
      </c>
      <c r="F572" s="641">
        <f t="shared" si="310"/>
        <v>4325.0879999999997</v>
      </c>
      <c r="G572" s="632"/>
      <c r="H572" s="632">
        <f t="shared" si="308"/>
        <v>0.5</v>
      </c>
      <c r="I572" s="642">
        <f t="shared" si="311"/>
        <v>0.5</v>
      </c>
      <c r="J572" s="643">
        <f t="shared" si="312"/>
        <v>1</v>
      </c>
      <c r="K572" s="636"/>
      <c r="L572" s="636">
        <f t="shared" si="313"/>
        <v>4325.0879999999997</v>
      </c>
      <c r="M572" s="636">
        <f t="shared" si="314"/>
        <v>4325.0879999999997</v>
      </c>
    </row>
    <row r="573" spans="1:13">
      <c r="A573" s="637"/>
      <c r="B573" s="663"/>
      <c r="C573" s="664"/>
      <c r="D573" s="665"/>
      <c r="E573" s="666"/>
      <c r="F573" s="772">
        <f>+SUBTOTAL(9,F564:F572)</f>
        <v>59791.082999999999</v>
      </c>
      <c r="G573" s="632"/>
      <c r="H573" s="632"/>
      <c r="I573" s="642"/>
      <c r="J573" s="652"/>
      <c r="K573" s="657">
        <f>+SUBTOTAL(9,K564:K572)</f>
        <v>0</v>
      </c>
      <c r="L573" s="657">
        <f t="shared" ref="L573:M573" si="315">+SUBTOTAL(9,L564:L572)</f>
        <v>59791.082999999999</v>
      </c>
      <c r="M573" s="657">
        <f t="shared" si="315"/>
        <v>59791.082999999999</v>
      </c>
    </row>
    <row r="574" spans="1:13" s="101" customFormat="1" ht="12.75">
      <c r="A574" s="628" t="s">
        <v>210</v>
      </c>
      <c r="B574" s="663" t="s">
        <v>649</v>
      </c>
      <c r="C574" s="664"/>
      <c r="D574" s="665"/>
      <c r="E574" s="666"/>
      <c r="F574" s="772"/>
      <c r="G574" s="777"/>
      <c r="H574" s="632"/>
      <c r="I574" s="780"/>
      <c r="J574" s="793"/>
      <c r="K574" s="657"/>
      <c r="L574" s="657"/>
      <c r="M574" s="657"/>
    </row>
    <row r="575" spans="1:13" s="796" customFormat="1" ht="12.75">
      <c r="A575" s="637">
        <v>1</v>
      </c>
      <c r="B575" s="659" t="s">
        <v>585</v>
      </c>
      <c r="C575" s="660"/>
      <c r="D575" s="661"/>
      <c r="E575" s="662"/>
      <c r="F575" s="794"/>
      <c r="G575" s="632"/>
      <c r="H575" s="632"/>
      <c r="I575" s="642"/>
      <c r="J575" s="652"/>
      <c r="K575" s="795"/>
      <c r="L575" s="795"/>
      <c r="M575" s="795"/>
    </row>
    <row r="576" spans="1:13" s="796" customFormat="1" ht="12.75">
      <c r="A576" s="637">
        <v>1.01</v>
      </c>
      <c r="B576" s="659" t="s">
        <v>588</v>
      </c>
      <c r="C576" s="660">
        <v>7.8974999999999991</v>
      </c>
      <c r="D576" s="661" t="s">
        <v>38</v>
      </c>
      <c r="E576" s="662">
        <v>18225.630000000005</v>
      </c>
      <c r="F576" s="641">
        <f t="shared" ref="F576:F580" si="316">+E576*C576</f>
        <v>143936.91292500001</v>
      </c>
      <c r="G576" s="632"/>
      <c r="H576" s="632">
        <f t="shared" si="308"/>
        <v>7.8974999999999991</v>
      </c>
      <c r="I576" s="642">
        <f t="shared" ref="I576:I580" si="317">+H576+G576</f>
        <v>7.8974999999999991</v>
      </c>
      <c r="J576" s="643">
        <f t="shared" ref="J576:J580" si="318">I576/C576</f>
        <v>1</v>
      </c>
      <c r="K576" s="636"/>
      <c r="L576" s="636">
        <f t="shared" ref="L576:L580" si="319">+H576*E576</f>
        <v>143936.91292500001</v>
      </c>
      <c r="M576" s="636">
        <f t="shared" ref="M576:M580" si="320">K576+L576</f>
        <v>143936.91292500001</v>
      </c>
    </row>
    <row r="577" spans="1:13" s="796" customFormat="1" ht="12.75">
      <c r="A577" s="637">
        <v>1.02</v>
      </c>
      <c r="B577" s="659" t="s">
        <v>668</v>
      </c>
      <c r="C577" s="660">
        <v>42.352499999999999</v>
      </c>
      <c r="D577" s="661" t="s">
        <v>38</v>
      </c>
      <c r="E577" s="662">
        <v>11242.63999999999</v>
      </c>
      <c r="F577" s="641">
        <f t="shared" si="316"/>
        <v>476153.9105999996</v>
      </c>
      <c r="G577" s="632"/>
      <c r="H577" s="632">
        <f t="shared" si="308"/>
        <v>42.352499999999999</v>
      </c>
      <c r="I577" s="642">
        <f t="shared" si="317"/>
        <v>42.352499999999999</v>
      </c>
      <c r="J577" s="643">
        <f t="shared" si="318"/>
        <v>1</v>
      </c>
      <c r="K577" s="636"/>
      <c r="L577" s="636">
        <f t="shared" si="319"/>
        <v>476153.9105999996</v>
      </c>
      <c r="M577" s="636">
        <f t="shared" si="320"/>
        <v>476153.9105999996</v>
      </c>
    </row>
    <row r="578" spans="1:13" s="796" customFormat="1" ht="12.75">
      <c r="A578" s="637">
        <v>1.03</v>
      </c>
      <c r="B578" s="659" t="s">
        <v>591</v>
      </c>
      <c r="C578" s="660">
        <v>15.9375</v>
      </c>
      <c r="D578" s="661" t="s">
        <v>38</v>
      </c>
      <c r="E578" s="662">
        <v>9398.980000000005</v>
      </c>
      <c r="F578" s="641">
        <f t="shared" si="316"/>
        <v>149796.24375000008</v>
      </c>
      <c r="G578" s="632"/>
      <c r="H578" s="632">
        <f t="shared" si="308"/>
        <v>15.9375</v>
      </c>
      <c r="I578" s="642">
        <f t="shared" si="317"/>
        <v>15.9375</v>
      </c>
      <c r="J578" s="643">
        <f t="shared" si="318"/>
        <v>1</v>
      </c>
      <c r="K578" s="636"/>
      <c r="L578" s="636">
        <f t="shared" si="319"/>
        <v>149796.24375000008</v>
      </c>
      <c r="M578" s="636">
        <f t="shared" si="320"/>
        <v>149796.24375000008</v>
      </c>
    </row>
    <row r="579" spans="1:13" s="796" customFormat="1" ht="12.75">
      <c r="A579" s="637">
        <v>1.04</v>
      </c>
      <c r="B579" s="659" t="s">
        <v>592</v>
      </c>
      <c r="C579" s="660">
        <v>1.7849999999999999</v>
      </c>
      <c r="D579" s="661" t="s">
        <v>38</v>
      </c>
      <c r="E579" s="662">
        <v>10807.940000000004</v>
      </c>
      <c r="F579" s="641">
        <f t="shared" si="316"/>
        <v>19292.172900000005</v>
      </c>
      <c r="G579" s="632"/>
      <c r="H579" s="632">
        <f t="shared" si="308"/>
        <v>1.7849999999999999</v>
      </c>
      <c r="I579" s="642">
        <f t="shared" si="317"/>
        <v>1.7849999999999999</v>
      </c>
      <c r="J579" s="643">
        <f t="shared" si="318"/>
        <v>1</v>
      </c>
      <c r="K579" s="636"/>
      <c r="L579" s="636">
        <f t="shared" si="319"/>
        <v>19292.172900000005</v>
      </c>
      <c r="M579" s="636">
        <f t="shared" si="320"/>
        <v>19292.172900000005</v>
      </c>
    </row>
    <row r="580" spans="1:13" s="796" customFormat="1" ht="12.75">
      <c r="A580" s="637">
        <v>1.05</v>
      </c>
      <c r="B580" s="659" t="s">
        <v>594</v>
      </c>
      <c r="C580" s="660">
        <v>37.785000000000004</v>
      </c>
      <c r="D580" s="661" t="s">
        <v>38</v>
      </c>
      <c r="E580" s="662">
        <v>8570.615443342891</v>
      </c>
      <c r="F580" s="641">
        <f t="shared" si="316"/>
        <v>323840.7045267112</v>
      </c>
      <c r="G580" s="632"/>
      <c r="H580" s="632">
        <f t="shared" si="308"/>
        <v>37.785000000000004</v>
      </c>
      <c r="I580" s="642">
        <f t="shared" si="317"/>
        <v>37.785000000000004</v>
      </c>
      <c r="J580" s="643">
        <f t="shared" si="318"/>
        <v>1</v>
      </c>
      <c r="K580" s="636"/>
      <c r="L580" s="636">
        <f t="shared" si="319"/>
        <v>323840.7045267112</v>
      </c>
      <c r="M580" s="636">
        <f t="shared" si="320"/>
        <v>323840.7045267112</v>
      </c>
    </row>
    <row r="581" spans="1:13">
      <c r="A581" s="637"/>
      <c r="B581" s="663"/>
      <c r="C581" s="664"/>
      <c r="D581" s="665"/>
      <c r="E581" s="666"/>
      <c r="F581" s="772">
        <f>+SUBTOTAL(9,F576:F580)</f>
        <v>1113019.9447017109</v>
      </c>
      <c r="G581" s="632"/>
      <c r="H581" s="632"/>
      <c r="I581" s="642"/>
      <c r="J581" s="652"/>
      <c r="K581" s="657">
        <f>+SUBTOTAL(9,K576:K580)</f>
        <v>0</v>
      </c>
      <c r="L581" s="657">
        <f t="shared" ref="L581:M581" si="321">+SUBTOTAL(9,L576:L580)</f>
        <v>1113019.9447017109</v>
      </c>
      <c r="M581" s="657">
        <f t="shared" si="321"/>
        <v>1113019.9447017109</v>
      </c>
    </row>
    <row r="582" spans="1:13" s="101" customFormat="1" ht="12.75">
      <c r="A582" s="628">
        <v>3</v>
      </c>
      <c r="B582" s="663" t="s">
        <v>656</v>
      </c>
      <c r="C582" s="664"/>
      <c r="D582" s="665"/>
      <c r="E582" s="666"/>
      <c r="F582" s="772"/>
      <c r="G582" s="777"/>
      <c r="H582" s="632"/>
      <c r="I582" s="780"/>
      <c r="J582" s="793"/>
      <c r="K582" s="657"/>
      <c r="L582" s="657"/>
      <c r="M582" s="657"/>
    </row>
    <row r="583" spans="1:13" s="796" customFormat="1" ht="12.75">
      <c r="A583" s="637">
        <v>3.02</v>
      </c>
      <c r="B583" s="659" t="s">
        <v>658</v>
      </c>
      <c r="C583" s="660">
        <v>1</v>
      </c>
      <c r="D583" s="661" t="s">
        <v>88</v>
      </c>
      <c r="E583" s="662">
        <v>129006.92627207667</v>
      </c>
      <c r="F583" s="641">
        <f t="shared" ref="F583" si="322">+E583*C583</f>
        <v>129006.92627207667</v>
      </c>
      <c r="G583" s="632"/>
      <c r="H583" s="632">
        <f t="shared" si="308"/>
        <v>1</v>
      </c>
      <c r="I583" s="642">
        <f t="shared" ref="I583" si="323">+H583+G583</f>
        <v>1</v>
      </c>
      <c r="J583" s="643">
        <f t="shared" ref="J583" si="324">I583/C583</f>
        <v>1</v>
      </c>
      <c r="K583" s="636"/>
      <c r="L583" s="636">
        <f t="shared" ref="L583" si="325">+H583*E583</f>
        <v>129006.92627207667</v>
      </c>
      <c r="M583" s="636">
        <f t="shared" ref="M583" si="326">K583+L583</f>
        <v>129006.92627207667</v>
      </c>
    </row>
    <row r="584" spans="1:13">
      <c r="A584" s="637"/>
      <c r="B584" s="663" t="s">
        <v>44</v>
      </c>
      <c r="C584" s="664"/>
      <c r="D584" s="665"/>
      <c r="E584" s="666"/>
      <c r="F584" s="772">
        <f>+SUBTOTAL(9,F583)</f>
        <v>129006.92627207667</v>
      </c>
      <c r="G584" s="632"/>
      <c r="H584" s="632"/>
      <c r="I584" s="642"/>
      <c r="J584" s="652"/>
      <c r="K584" s="657">
        <f>+SUBTOTAL(9,K583)</f>
        <v>0</v>
      </c>
      <c r="L584" s="657">
        <f t="shared" ref="L584:M584" si="327">+SUBTOTAL(9,L583)</f>
        <v>129006.92627207667</v>
      </c>
      <c r="M584" s="657">
        <f t="shared" si="327"/>
        <v>129006.92627207667</v>
      </c>
    </row>
    <row r="585" spans="1:13">
      <c r="A585" s="756"/>
      <c r="B585" s="757" t="s">
        <v>664</v>
      </c>
      <c r="C585" s="758"/>
      <c r="D585" s="756"/>
      <c r="E585" s="758"/>
      <c r="F585" s="760">
        <f>+SUBTOTAL(9,F430:F584)</f>
        <v>7883853.7309157643</v>
      </c>
      <c r="G585" s="758"/>
      <c r="H585" s="758"/>
      <c r="I585" s="758"/>
      <c r="J585" s="758"/>
      <c r="K585" s="760">
        <f>+SUBTOTAL(9,K430:K584)</f>
        <v>0</v>
      </c>
      <c r="L585" s="760">
        <f t="shared" ref="L585:M585" si="328">+SUBTOTAL(9,L430:L584)</f>
        <v>7883853.7309157643</v>
      </c>
      <c r="M585" s="760">
        <f t="shared" si="328"/>
        <v>7883853.7309157643</v>
      </c>
    </row>
    <row r="586" spans="1:13">
      <c r="A586" s="761"/>
      <c r="B586" s="563"/>
      <c r="C586" s="416"/>
      <c r="D586" s="761"/>
      <c r="E586" s="416"/>
      <c r="F586" s="762"/>
      <c r="G586" s="416"/>
      <c r="H586" s="416"/>
      <c r="I586" s="416"/>
      <c r="J586" s="416"/>
      <c r="K586" s="416"/>
      <c r="L586" s="416"/>
      <c r="M586" s="416"/>
    </row>
    <row r="587" spans="1:13" ht="18.75">
      <c r="A587" s="797"/>
      <c r="B587" s="798" t="s">
        <v>690</v>
      </c>
      <c r="C587" s="799"/>
      <c r="D587" s="797"/>
      <c r="E587" s="799"/>
      <c r="F587" s="800"/>
      <c r="G587" s="799"/>
      <c r="H587" s="799"/>
      <c r="I587" s="799"/>
      <c r="J587" s="799"/>
      <c r="K587" s="799"/>
      <c r="L587" s="799"/>
      <c r="M587" s="799"/>
    </row>
    <row r="588" spans="1:13">
      <c r="A588" s="761"/>
      <c r="B588" s="563"/>
      <c r="C588" s="416"/>
      <c r="D588" s="761"/>
      <c r="E588" s="416"/>
      <c r="F588" s="762"/>
      <c r="G588" s="416"/>
      <c r="H588" s="416"/>
      <c r="I588" s="416"/>
      <c r="J588" s="416"/>
      <c r="K588" s="416"/>
      <c r="L588" s="416"/>
      <c r="M588" s="416"/>
    </row>
    <row r="589" spans="1:13">
      <c r="A589" s="1117" t="s">
        <v>13</v>
      </c>
      <c r="B589" s="1117"/>
      <c r="C589" s="1117"/>
      <c r="D589" s="1117"/>
      <c r="E589" s="1117"/>
      <c r="F589" s="1117"/>
      <c r="G589" s="1118" t="s">
        <v>14</v>
      </c>
      <c r="H589" s="1118"/>
      <c r="I589" s="1118"/>
      <c r="J589" s="1118"/>
      <c r="K589" s="1119" t="s">
        <v>15</v>
      </c>
      <c r="L589" s="1119"/>
      <c r="M589" s="1119"/>
    </row>
    <row r="590" spans="1:13">
      <c r="A590" s="619" t="s">
        <v>16</v>
      </c>
      <c r="B590" s="620" t="s">
        <v>17</v>
      </c>
      <c r="C590" s="620" t="s">
        <v>19</v>
      </c>
      <c r="D590" s="620" t="s">
        <v>18</v>
      </c>
      <c r="E590" s="621" t="s">
        <v>20</v>
      </c>
      <c r="F590" s="622" t="s">
        <v>21</v>
      </c>
      <c r="G590" s="623" t="s">
        <v>22</v>
      </c>
      <c r="H590" s="623" t="s">
        <v>23</v>
      </c>
      <c r="I590" s="624" t="s">
        <v>24</v>
      </c>
      <c r="J590" s="625" t="s">
        <v>25</v>
      </c>
      <c r="K590" s="626" t="s">
        <v>22</v>
      </c>
      <c r="L590" s="627" t="s">
        <v>23</v>
      </c>
      <c r="M590" s="627" t="s">
        <v>24</v>
      </c>
    </row>
    <row r="591" spans="1:13">
      <c r="A591" s="628" t="s">
        <v>185</v>
      </c>
      <c r="B591" s="301" t="s">
        <v>587</v>
      </c>
      <c r="C591" s="315"/>
      <c r="D591" s="629"/>
      <c r="E591" s="630"/>
      <c r="F591" s="631"/>
      <c r="G591" s="632"/>
      <c r="H591" s="632"/>
      <c r="I591" s="633"/>
      <c r="J591" s="634"/>
      <c r="K591" s="635"/>
      <c r="L591" s="636"/>
      <c r="M591" s="636"/>
    </row>
    <row r="592" spans="1:13">
      <c r="A592" s="637"/>
      <c r="B592" s="315"/>
      <c r="C592" s="638"/>
      <c r="D592" s="639"/>
      <c r="E592" s="655"/>
      <c r="F592" s="641"/>
      <c r="G592" s="632"/>
      <c r="H592" s="632"/>
      <c r="I592" s="642"/>
      <c r="J592" s="643"/>
      <c r="K592" s="636"/>
      <c r="L592" s="636"/>
      <c r="M592" s="636"/>
    </row>
    <row r="593" spans="1:13">
      <c r="A593" s="637"/>
      <c r="B593" s="315"/>
      <c r="C593" s="645"/>
      <c r="D593" s="639"/>
      <c r="E593" s="655"/>
      <c r="F593" s="641"/>
      <c r="G593" s="632"/>
      <c r="H593" s="632"/>
      <c r="I593" s="642"/>
      <c r="J593" s="643"/>
      <c r="K593" s="636"/>
      <c r="L593" s="636"/>
      <c r="M593" s="636"/>
    </row>
    <row r="594" spans="1:13">
      <c r="A594" s="628">
        <v>4</v>
      </c>
      <c r="B594" s="301" t="s">
        <v>675</v>
      </c>
      <c r="C594" s="315"/>
      <c r="D594" s="629"/>
      <c r="E594" s="630"/>
      <c r="F594" s="772"/>
      <c r="G594" s="632"/>
      <c r="H594" s="632"/>
      <c r="I594" s="642"/>
      <c r="J594" s="652"/>
      <c r="K594" s="636"/>
      <c r="L594" s="636"/>
      <c r="M594" s="636"/>
    </row>
    <row r="595" spans="1:13">
      <c r="A595" s="637">
        <v>4.01</v>
      </c>
      <c r="B595" s="315" t="s">
        <v>676</v>
      </c>
      <c r="C595" s="638">
        <v>16</v>
      </c>
      <c r="D595" s="639" t="s">
        <v>189</v>
      </c>
      <c r="E595" s="655">
        <v>4567.0950000000003</v>
      </c>
      <c r="F595" s="641">
        <f t="shared" ref="F595:F656" si="329">+E595*C595</f>
        <v>73073.52</v>
      </c>
      <c r="G595" s="632"/>
      <c r="H595" s="632"/>
      <c r="I595" s="642">
        <f t="shared" ref="I595:I656" si="330">+H595+G595</f>
        <v>0</v>
      </c>
      <c r="J595" s="643">
        <f t="shared" ref="J595:J656" si="331">I595/C595</f>
        <v>0</v>
      </c>
      <c r="K595" s="636"/>
      <c r="L595" s="636">
        <f t="shared" ref="L595:L656" si="332">+H595*E595</f>
        <v>0</v>
      </c>
      <c r="M595" s="636">
        <f t="shared" ref="M595:M656" si="333">K595+L595</f>
        <v>0</v>
      </c>
    </row>
    <row r="596" spans="1:13">
      <c r="A596" s="637">
        <v>4.0199999999999996</v>
      </c>
      <c r="B596" s="315" t="s">
        <v>603</v>
      </c>
      <c r="C596" s="638">
        <v>1.3</v>
      </c>
      <c r="D596" s="639" t="s">
        <v>189</v>
      </c>
      <c r="E596" s="655">
        <v>4617.0950000000003</v>
      </c>
      <c r="F596" s="641">
        <f t="shared" si="329"/>
        <v>6002.223500000001</v>
      </c>
      <c r="G596" s="632"/>
      <c r="H596" s="632"/>
      <c r="I596" s="642">
        <f t="shared" si="330"/>
        <v>0</v>
      </c>
      <c r="J596" s="643">
        <f t="shared" si="331"/>
        <v>0</v>
      </c>
      <c r="K596" s="636"/>
      <c r="L596" s="636">
        <f t="shared" si="332"/>
        <v>0</v>
      </c>
      <c r="M596" s="636">
        <f t="shared" si="333"/>
        <v>0</v>
      </c>
    </row>
    <row r="597" spans="1:13">
      <c r="A597" s="637">
        <v>4.0299999999999994</v>
      </c>
      <c r="B597" s="315" t="s">
        <v>604</v>
      </c>
      <c r="C597" s="638">
        <v>129.16499999999999</v>
      </c>
      <c r="D597" s="639" t="s">
        <v>605</v>
      </c>
      <c r="E597" s="655">
        <v>649</v>
      </c>
      <c r="F597" s="641">
        <f t="shared" si="329"/>
        <v>83828.084999999992</v>
      </c>
      <c r="G597" s="632"/>
      <c r="H597" s="632"/>
      <c r="I597" s="642">
        <f t="shared" si="330"/>
        <v>0</v>
      </c>
      <c r="J597" s="643">
        <f t="shared" si="331"/>
        <v>0</v>
      </c>
      <c r="K597" s="636"/>
      <c r="L597" s="636">
        <f t="shared" si="332"/>
        <v>0</v>
      </c>
      <c r="M597" s="636">
        <f t="shared" si="333"/>
        <v>0</v>
      </c>
    </row>
    <row r="598" spans="1:13">
      <c r="A598" s="637">
        <v>4.0399999999999991</v>
      </c>
      <c r="B598" s="315" t="s">
        <v>606</v>
      </c>
      <c r="C598" s="638">
        <v>9</v>
      </c>
      <c r="D598" s="639" t="s">
        <v>189</v>
      </c>
      <c r="E598" s="655">
        <v>6983.24</v>
      </c>
      <c r="F598" s="641">
        <f t="shared" si="329"/>
        <v>62849.159999999996</v>
      </c>
      <c r="G598" s="632"/>
      <c r="H598" s="632"/>
      <c r="I598" s="642">
        <f t="shared" si="330"/>
        <v>0</v>
      </c>
      <c r="J598" s="643">
        <f t="shared" si="331"/>
        <v>0</v>
      </c>
      <c r="K598" s="636"/>
      <c r="L598" s="636">
        <f t="shared" si="332"/>
        <v>0</v>
      </c>
      <c r="M598" s="636">
        <f t="shared" si="333"/>
        <v>0</v>
      </c>
    </row>
    <row r="599" spans="1:13">
      <c r="A599" s="637">
        <v>4.0499999999999989</v>
      </c>
      <c r="B599" s="315" t="s">
        <v>607</v>
      </c>
      <c r="C599" s="638">
        <v>139.5</v>
      </c>
      <c r="D599" s="639" t="s">
        <v>189</v>
      </c>
      <c r="E599" s="655">
        <v>798.38811383928521</v>
      </c>
      <c r="F599" s="641">
        <f t="shared" si="329"/>
        <v>111375.14188058028</v>
      </c>
      <c r="G599" s="632"/>
      <c r="H599" s="632"/>
      <c r="I599" s="642">
        <f t="shared" si="330"/>
        <v>0</v>
      </c>
      <c r="J599" s="643">
        <f t="shared" si="331"/>
        <v>0</v>
      </c>
      <c r="K599" s="636"/>
      <c r="L599" s="636">
        <f t="shared" si="332"/>
        <v>0</v>
      </c>
      <c r="M599" s="636">
        <f t="shared" si="333"/>
        <v>0</v>
      </c>
    </row>
    <row r="600" spans="1:13">
      <c r="A600" s="637">
        <v>4.0599999999999987</v>
      </c>
      <c r="B600" s="315" t="s">
        <v>608</v>
      </c>
      <c r="C600" s="638">
        <v>17.5</v>
      </c>
      <c r="D600" s="639" t="s">
        <v>189</v>
      </c>
      <c r="E600" s="655">
        <v>145.2730241672111</v>
      </c>
      <c r="F600" s="641">
        <f t="shared" si="329"/>
        <v>2542.2779229261942</v>
      </c>
      <c r="G600" s="632"/>
      <c r="H600" s="632"/>
      <c r="I600" s="642">
        <f t="shared" si="330"/>
        <v>0</v>
      </c>
      <c r="J600" s="643">
        <f t="shared" si="331"/>
        <v>0</v>
      </c>
      <c r="K600" s="636"/>
      <c r="L600" s="636">
        <f t="shared" si="332"/>
        <v>0</v>
      </c>
      <c r="M600" s="636">
        <f t="shared" si="333"/>
        <v>0</v>
      </c>
    </row>
    <row r="601" spans="1:13">
      <c r="A601" s="637"/>
      <c r="B601" s="315"/>
      <c r="C601" s="638"/>
      <c r="D601" s="639"/>
      <c r="E601" s="655"/>
      <c r="F601" s="772">
        <f>+SUBTOTAL(9,F595:F600)</f>
        <v>339670.4083035065</v>
      </c>
      <c r="G601" s="632"/>
      <c r="H601" s="632"/>
      <c r="I601" s="642"/>
      <c r="J601" s="652"/>
      <c r="K601" s="657">
        <f>+SUBTOTAL(9,K595:K600)</f>
        <v>0</v>
      </c>
      <c r="L601" s="657">
        <f t="shared" ref="L601:M601" si="334">+SUBTOTAL(9,L595:L600)</f>
        <v>0</v>
      </c>
      <c r="M601" s="657">
        <f t="shared" si="334"/>
        <v>0</v>
      </c>
    </row>
    <row r="602" spans="1:13" s="779" customFormat="1">
      <c r="A602" s="628">
        <v>5</v>
      </c>
      <c r="B602" s="301" t="s">
        <v>609</v>
      </c>
      <c r="C602" s="774"/>
      <c r="D602" s="649"/>
      <c r="E602" s="775"/>
      <c r="F602" s="776"/>
      <c r="G602" s="777"/>
      <c r="H602" s="777"/>
      <c r="I602" s="780"/>
      <c r="J602" s="781"/>
      <c r="K602" s="778"/>
      <c r="L602" s="778"/>
      <c r="M602" s="778"/>
    </row>
    <row r="603" spans="1:13">
      <c r="A603" s="637">
        <v>5.01</v>
      </c>
      <c r="B603" s="315" t="s">
        <v>610</v>
      </c>
      <c r="C603" s="638">
        <v>250</v>
      </c>
      <c r="D603" s="639" t="s">
        <v>189</v>
      </c>
      <c r="E603" s="655">
        <v>4565.335</v>
      </c>
      <c r="F603" s="641">
        <f t="shared" si="329"/>
        <v>1141333.75</v>
      </c>
      <c r="G603" s="632"/>
      <c r="H603" s="632"/>
      <c r="I603" s="642">
        <f t="shared" si="330"/>
        <v>0</v>
      </c>
      <c r="J603" s="643">
        <f t="shared" si="331"/>
        <v>0</v>
      </c>
      <c r="K603" s="636"/>
      <c r="L603" s="636">
        <f t="shared" si="332"/>
        <v>0</v>
      </c>
      <c r="M603" s="636">
        <f t="shared" si="333"/>
        <v>0</v>
      </c>
    </row>
    <row r="604" spans="1:13">
      <c r="A604" s="637">
        <v>5.0199999999999996</v>
      </c>
      <c r="B604" s="315" t="s">
        <v>611</v>
      </c>
      <c r="C604" s="638">
        <v>120</v>
      </c>
      <c r="D604" s="639" t="s">
        <v>30</v>
      </c>
      <c r="E604" s="655">
        <v>554.64480000000003</v>
      </c>
      <c r="F604" s="641">
        <f t="shared" si="329"/>
        <v>66557.376000000004</v>
      </c>
      <c r="G604" s="632"/>
      <c r="H604" s="632"/>
      <c r="I604" s="642">
        <f t="shared" si="330"/>
        <v>0</v>
      </c>
      <c r="J604" s="643">
        <f t="shared" si="331"/>
        <v>0</v>
      </c>
      <c r="K604" s="636"/>
      <c r="L604" s="636">
        <f t="shared" si="332"/>
        <v>0</v>
      </c>
      <c r="M604" s="636">
        <f t="shared" si="333"/>
        <v>0</v>
      </c>
    </row>
    <row r="605" spans="1:13">
      <c r="A605" s="637">
        <v>5.0299999999999994</v>
      </c>
      <c r="B605" s="315" t="s">
        <v>677</v>
      </c>
      <c r="C605" s="638">
        <v>17.5</v>
      </c>
      <c r="D605" s="639" t="s">
        <v>189</v>
      </c>
      <c r="E605" s="655">
        <v>4417.415</v>
      </c>
      <c r="F605" s="641">
        <f t="shared" si="329"/>
        <v>77304.762499999997</v>
      </c>
      <c r="G605" s="632"/>
      <c r="H605" s="632"/>
      <c r="I605" s="642">
        <f t="shared" si="330"/>
        <v>0</v>
      </c>
      <c r="J605" s="643">
        <f t="shared" si="331"/>
        <v>0</v>
      </c>
      <c r="K605" s="636"/>
      <c r="L605" s="636">
        <f t="shared" si="332"/>
        <v>0</v>
      </c>
      <c r="M605" s="636">
        <f t="shared" si="333"/>
        <v>0</v>
      </c>
    </row>
    <row r="606" spans="1:13">
      <c r="A606" s="637"/>
      <c r="B606" s="315"/>
      <c r="C606" s="638"/>
      <c r="D606" s="639"/>
      <c r="E606" s="655"/>
      <c r="F606" s="772">
        <f>+SUBTOTAL(9,F603:F605)</f>
        <v>1285195.8884999999</v>
      </c>
      <c r="G606" s="632"/>
      <c r="H606" s="632"/>
      <c r="I606" s="642"/>
      <c r="J606" s="643"/>
      <c r="K606" s="657">
        <f>+SUBTOTAL(9,K603:K605)</f>
        <v>0</v>
      </c>
      <c r="L606" s="657">
        <f t="shared" ref="L606:M606" si="335">+SUBTOTAL(9,L603:L605)</f>
        <v>0</v>
      </c>
      <c r="M606" s="657">
        <f t="shared" si="335"/>
        <v>0</v>
      </c>
    </row>
    <row r="607" spans="1:13" s="779" customFormat="1">
      <c r="A607" s="628">
        <v>6</v>
      </c>
      <c r="B607" s="301" t="s">
        <v>613</v>
      </c>
      <c r="C607" s="774"/>
      <c r="D607" s="649"/>
      <c r="E607" s="775"/>
      <c r="F607" s="776"/>
      <c r="G607" s="777"/>
      <c r="H607" s="777"/>
      <c r="I607" s="780"/>
      <c r="J607" s="781"/>
      <c r="K607" s="778"/>
      <c r="L607" s="778"/>
      <c r="M607" s="778"/>
    </row>
    <row r="608" spans="1:13" ht="26.25">
      <c r="A608" s="637">
        <v>6.01</v>
      </c>
      <c r="B608" s="315" t="s">
        <v>614</v>
      </c>
      <c r="C608" s="638">
        <v>1</v>
      </c>
      <c r="D608" s="639" t="s">
        <v>32</v>
      </c>
      <c r="E608" s="655">
        <v>49140.664499999977</v>
      </c>
      <c r="F608" s="641">
        <f t="shared" si="329"/>
        <v>49140.664499999977</v>
      </c>
      <c r="G608" s="632"/>
      <c r="H608" s="632"/>
      <c r="I608" s="642">
        <f t="shared" si="330"/>
        <v>0</v>
      </c>
      <c r="J608" s="643">
        <f t="shared" si="331"/>
        <v>0</v>
      </c>
      <c r="K608" s="636"/>
      <c r="L608" s="636">
        <f t="shared" si="332"/>
        <v>0</v>
      </c>
      <c r="M608" s="636">
        <f t="shared" si="333"/>
        <v>0</v>
      </c>
    </row>
    <row r="609" spans="1:13">
      <c r="A609" s="637">
        <v>6.02</v>
      </c>
      <c r="B609" s="315" t="s">
        <v>678</v>
      </c>
      <c r="C609" s="638">
        <v>2</v>
      </c>
      <c r="D609" s="639" t="s">
        <v>32</v>
      </c>
      <c r="E609" s="655">
        <v>11151.356099999997</v>
      </c>
      <c r="F609" s="641">
        <f t="shared" si="329"/>
        <v>22302.712199999994</v>
      </c>
      <c r="G609" s="632"/>
      <c r="H609" s="632"/>
      <c r="I609" s="642">
        <f t="shared" si="330"/>
        <v>0</v>
      </c>
      <c r="J609" s="643">
        <f t="shared" si="331"/>
        <v>0</v>
      </c>
      <c r="K609" s="636"/>
      <c r="L609" s="636">
        <f t="shared" si="332"/>
        <v>0</v>
      </c>
      <c r="M609" s="636">
        <f t="shared" si="333"/>
        <v>0</v>
      </c>
    </row>
    <row r="610" spans="1:13">
      <c r="A610" s="637">
        <v>6.0299999999999994</v>
      </c>
      <c r="B610" s="315" t="s">
        <v>679</v>
      </c>
      <c r="C610" s="638">
        <v>2</v>
      </c>
      <c r="D610" s="639" t="s">
        <v>32</v>
      </c>
      <c r="E610" s="655">
        <v>21224.215700000001</v>
      </c>
      <c r="F610" s="641">
        <f t="shared" si="329"/>
        <v>42448.431400000001</v>
      </c>
      <c r="G610" s="632"/>
      <c r="H610" s="632"/>
      <c r="I610" s="642">
        <f t="shared" si="330"/>
        <v>0</v>
      </c>
      <c r="J610" s="643">
        <f t="shared" si="331"/>
        <v>0</v>
      </c>
      <c r="K610" s="636"/>
      <c r="L610" s="636">
        <f t="shared" si="332"/>
        <v>0</v>
      </c>
      <c r="M610" s="636">
        <f t="shared" si="333"/>
        <v>0</v>
      </c>
    </row>
    <row r="611" spans="1:13">
      <c r="A611" s="637"/>
      <c r="B611" s="315"/>
      <c r="C611" s="638"/>
      <c r="D611" s="639"/>
      <c r="E611" s="655"/>
      <c r="F611" s="772">
        <f>+SUBTOTAL(9,F608:F610)</f>
        <v>113891.80809999997</v>
      </c>
      <c r="G611" s="632"/>
      <c r="H611" s="632"/>
      <c r="I611" s="642"/>
      <c r="J611" s="643"/>
      <c r="K611" s="657">
        <f>+SUBTOTAL(9,K608:K610)</f>
        <v>0</v>
      </c>
      <c r="L611" s="657">
        <f t="shared" ref="L611:M611" si="336">+SUBTOTAL(9,L608:L610)</f>
        <v>0</v>
      </c>
      <c r="M611" s="657">
        <f t="shared" si="336"/>
        <v>0</v>
      </c>
    </row>
    <row r="612" spans="1:13" s="779" customFormat="1">
      <c r="A612" s="628">
        <v>7</v>
      </c>
      <c r="B612" s="301" t="s">
        <v>617</v>
      </c>
      <c r="C612" s="774"/>
      <c r="D612" s="649"/>
      <c r="E612" s="775"/>
      <c r="F612" s="776"/>
      <c r="G612" s="777"/>
      <c r="H612" s="777"/>
      <c r="I612" s="780"/>
      <c r="J612" s="781"/>
      <c r="K612" s="778"/>
      <c r="L612" s="778"/>
      <c r="M612" s="778"/>
    </row>
    <row r="613" spans="1:13" ht="26.25">
      <c r="A613" s="637">
        <v>7.01</v>
      </c>
      <c r="B613" s="315" t="s">
        <v>618</v>
      </c>
      <c r="C613" s="638">
        <v>10.34</v>
      </c>
      <c r="D613" s="639" t="s">
        <v>605</v>
      </c>
      <c r="E613" s="655">
        <v>474.94999999999987</v>
      </c>
      <c r="F613" s="641">
        <f t="shared" si="329"/>
        <v>4910.9829999999984</v>
      </c>
      <c r="G613" s="632"/>
      <c r="H613" s="632"/>
      <c r="I613" s="642">
        <f t="shared" si="330"/>
        <v>0</v>
      </c>
      <c r="J613" s="643">
        <f t="shared" si="331"/>
        <v>0</v>
      </c>
      <c r="K613" s="636"/>
      <c r="L613" s="636">
        <f t="shared" si="332"/>
        <v>0</v>
      </c>
      <c r="M613" s="636">
        <f t="shared" si="333"/>
        <v>0</v>
      </c>
    </row>
    <row r="614" spans="1:13">
      <c r="A614" s="637"/>
      <c r="B614" s="315"/>
      <c r="C614" s="638"/>
      <c r="D614" s="639"/>
      <c r="E614" s="655"/>
      <c r="F614" s="772">
        <f>+SUBTOTAL(9,F613)</f>
        <v>4910.9829999999984</v>
      </c>
      <c r="G614" s="632"/>
      <c r="H614" s="632"/>
      <c r="I614" s="642"/>
      <c r="J614" s="643"/>
      <c r="K614" s="657">
        <f>+SUBTOTAL(9,K613)</f>
        <v>0</v>
      </c>
      <c r="L614" s="657">
        <f t="shared" ref="L614:M614" si="337">+SUBTOTAL(9,L613)</f>
        <v>0</v>
      </c>
      <c r="M614" s="657">
        <f t="shared" si="337"/>
        <v>0</v>
      </c>
    </row>
    <row r="615" spans="1:13" s="779" customFormat="1">
      <c r="A615" s="628">
        <v>8</v>
      </c>
      <c r="B615" s="301" t="s">
        <v>274</v>
      </c>
      <c r="C615" s="774"/>
      <c r="D615" s="649"/>
      <c r="E615" s="775"/>
      <c r="F615" s="776"/>
      <c r="G615" s="777"/>
      <c r="H615" s="777"/>
      <c r="I615" s="780"/>
      <c r="J615" s="781"/>
      <c r="K615" s="778"/>
      <c r="L615" s="778"/>
      <c r="M615" s="778"/>
    </row>
    <row r="616" spans="1:13">
      <c r="A616" s="637">
        <v>8.01</v>
      </c>
      <c r="B616" s="315" t="s">
        <v>619</v>
      </c>
      <c r="C616" s="638">
        <v>14.96</v>
      </c>
      <c r="D616" s="639" t="s">
        <v>30</v>
      </c>
      <c r="E616" s="655">
        <v>319.56110000000018</v>
      </c>
      <c r="F616" s="641">
        <f t="shared" si="329"/>
        <v>4780.6340560000026</v>
      </c>
      <c r="G616" s="632"/>
      <c r="H616" s="632"/>
      <c r="I616" s="642">
        <f t="shared" si="330"/>
        <v>0</v>
      </c>
      <c r="J616" s="643">
        <f t="shared" si="331"/>
        <v>0</v>
      </c>
      <c r="K616" s="636"/>
      <c r="L616" s="636">
        <f t="shared" si="332"/>
        <v>0</v>
      </c>
      <c r="M616" s="636">
        <f t="shared" si="333"/>
        <v>0</v>
      </c>
    </row>
    <row r="617" spans="1:13">
      <c r="A617" s="637">
        <v>8.02</v>
      </c>
      <c r="B617" s="315" t="s">
        <v>620</v>
      </c>
      <c r="C617" s="638">
        <v>4</v>
      </c>
      <c r="D617" s="639" t="s">
        <v>189</v>
      </c>
      <c r="E617" s="655">
        <v>4565.335</v>
      </c>
      <c r="F617" s="641">
        <f t="shared" si="329"/>
        <v>18261.34</v>
      </c>
      <c r="G617" s="632"/>
      <c r="H617" s="632"/>
      <c r="I617" s="642">
        <f t="shared" si="330"/>
        <v>0</v>
      </c>
      <c r="J617" s="643">
        <f t="shared" si="331"/>
        <v>0</v>
      </c>
      <c r="K617" s="636"/>
      <c r="L617" s="636">
        <f t="shared" si="332"/>
        <v>0</v>
      </c>
      <c r="M617" s="636">
        <f t="shared" si="333"/>
        <v>0</v>
      </c>
    </row>
    <row r="618" spans="1:13">
      <c r="A618" s="637"/>
      <c r="B618" s="315"/>
      <c r="C618" s="638"/>
      <c r="D618" s="639"/>
      <c r="E618" s="655"/>
      <c r="F618" s="772">
        <f>+SUBTOTAL(9,F616:F617)</f>
        <v>23041.974056000003</v>
      </c>
      <c r="G618" s="632"/>
      <c r="H618" s="632"/>
      <c r="I618" s="642"/>
      <c r="J618" s="643"/>
      <c r="K618" s="657">
        <f>+SUBTOTAL(9,K616:K617)</f>
        <v>0</v>
      </c>
      <c r="L618" s="657">
        <f t="shared" ref="L618:M618" si="338">+SUBTOTAL(9,L616:L617)</f>
        <v>0</v>
      </c>
      <c r="M618" s="657">
        <f t="shared" si="338"/>
        <v>0</v>
      </c>
    </row>
    <row r="619" spans="1:13" s="779" customFormat="1">
      <c r="A619" s="628">
        <v>9</v>
      </c>
      <c r="B619" s="301" t="s">
        <v>691</v>
      </c>
      <c r="C619" s="774"/>
      <c r="D619" s="649"/>
      <c r="E619" s="775"/>
      <c r="F619" s="776"/>
      <c r="G619" s="777"/>
      <c r="H619" s="777"/>
      <c r="I619" s="780"/>
      <c r="J619" s="781"/>
      <c r="K619" s="778"/>
      <c r="L619" s="778"/>
      <c r="M619" s="778"/>
    </row>
    <row r="620" spans="1:13">
      <c r="A620" s="637">
        <v>9.01</v>
      </c>
      <c r="B620" s="315" t="s">
        <v>622</v>
      </c>
      <c r="C620" s="638">
        <v>1752.8</v>
      </c>
      <c r="D620" s="639" t="s">
        <v>189</v>
      </c>
      <c r="E620" s="655">
        <v>434.54</v>
      </c>
      <c r="F620" s="641">
        <f t="shared" si="329"/>
        <v>761661.71200000006</v>
      </c>
      <c r="G620" s="632"/>
      <c r="H620" s="632"/>
      <c r="I620" s="642">
        <f t="shared" si="330"/>
        <v>0</v>
      </c>
      <c r="J620" s="643">
        <f t="shared" si="331"/>
        <v>0</v>
      </c>
      <c r="K620" s="636"/>
      <c r="L620" s="636">
        <f t="shared" si="332"/>
        <v>0</v>
      </c>
      <c r="M620" s="636">
        <f t="shared" si="333"/>
        <v>0</v>
      </c>
    </row>
    <row r="621" spans="1:13">
      <c r="A621" s="637"/>
      <c r="B621" s="315"/>
      <c r="C621" s="638"/>
      <c r="D621" s="639"/>
      <c r="E621" s="655"/>
      <c r="F621" s="772">
        <f>+SUBTOTAL(9,F620)</f>
        <v>761661.71200000006</v>
      </c>
      <c r="G621" s="632"/>
      <c r="H621" s="632"/>
      <c r="I621" s="642"/>
      <c r="J621" s="652"/>
      <c r="K621" s="657">
        <f>+SUBTOTAL(9,K620)</f>
        <v>0</v>
      </c>
      <c r="L621" s="657">
        <f t="shared" ref="L621:M621" si="339">+SUBTOTAL(9,L620)</f>
        <v>0</v>
      </c>
      <c r="M621" s="657">
        <f t="shared" si="339"/>
        <v>0</v>
      </c>
    </row>
    <row r="622" spans="1:13" s="779" customFormat="1">
      <c r="A622" s="628">
        <v>10</v>
      </c>
      <c r="B622" s="301" t="s">
        <v>623</v>
      </c>
      <c r="C622" s="774"/>
      <c r="D622" s="649"/>
      <c r="E622" s="775"/>
      <c r="F622" s="776"/>
      <c r="G622" s="777"/>
      <c r="H622" s="777"/>
      <c r="I622" s="780"/>
      <c r="J622" s="781"/>
      <c r="K622" s="778"/>
      <c r="L622" s="778"/>
      <c r="M622" s="778"/>
    </row>
    <row r="623" spans="1:13">
      <c r="A623" s="637">
        <v>10.01</v>
      </c>
      <c r="B623" s="315" t="s">
        <v>624</v>
      </c>
      <c r="C623" s="638"/>
      <c r="D623" s="639"/>
      <c r="E623" s="655"/>
      <c r="F623" s="641"/>
      <c r="G623" s="632"/>
      <c r="H623" s="632"/>
      <c r="I623" s="642"/>
      <c r="J623" s="643"/>
      <c r="K623" s="636"/>
      <c r="L623" s="636"/>
      <c r="M623" s="636"/>
    </row>
    <row r="624" spans="1:13">
      <c r="A624" s="637" t="s">
        <v>687</v>
      </c>
      <c r="B624" s="315" t="s">
        <v>625</v>
      </c>
      <c r="C624" s="638">
        <v>5.3999999999999995</v>
      </c>
      <c r="D624" s="639" t="s">
        <v>189</v>
      </c>
      <c r="E624" s="655">
        <v>2050.4444444444448</v>
      </c>
      <c r="F624" s="641">
        <f t="shared" si="329"/>
        <v>11072.400000000001</v>
      </c>
      <c r="G624" s="632"/>
      <c r="H624" s="632"/>
      <c r="I624" s="642">
        <f t="shared" si="330"/>
        <v>0</v>
      </c>
      <c r="J624" s="643">
        <f t="shared" si="331"/>
        <v>0</v>
      </c>
      <c r="K624" s="636"/>
      <c r="L624" s="636">
        <f t="shared" si="332"/>
        <v>0</v>
      </c>
      <c r="M624" s="636">
        <f t="shared" si="333"/>
        <v>0</v>
      </c>
    </row>
    <row r="625" spans="1:13">
      <c r="A625" s="637" t="s">
        <v>670</v>
      </c>
      <c r="B625" s="315" t="s">
        <v>626</v>
      </c>
      <c r="C625" s="638">
        <v>3</v>
      </c>
      <c r="D625" s="639" t="s">
        <v>692</v>
      </c>
      <c r="E625" s="655">
        <v>3209.1899999999951</v>
      </c>
      <c r="F625" s="641">
        <f t="shared" si="329"/>
        <v>9627.5699999999852</v>
      </c>
      <c r="G625" s="632"/>
      <c r="H625" s="632"/>
      <c r="I625" s="642">
        <f t="shared" si="330"/>
        <v>0</v>
      </c>
      <c r="J625" s="643">
        <f t="shared" si="331"/>
        <v>0</v>
      </c>
      <c r="K625" s="636"/>
      <c r="L625" s="636">
        <f t="shared" si="332"/>
        <v>0</v>
      </c>
      <c r="M625" s="636">
        <f t="shared" si="333"/>
        <v>0</v>
      </c>
    </row>
    <row r="626" spans="1:13">
      <c r="A626" s="637" t="s">
        <v>671</v>
      </c>
      <c r="B626" s="315" t="s">
        <v>627</v>
      </c>
      <c r="C626" s="638">
        <v>4</v>
      </c>
      <c r="D626" s="639" t="s">
        <v>692</v>
      </c>
      <c r="E626" s="655">
        <v>8421.9799999999959</v>
      </c>
      <c r="F626" s="641">
        <f t="shared" si="329"/>
        <v>33687.919999999984</v>
      </c>
      <c r="G626" s="632"/>
      <c r="H626" s="632"/>
      <c r="I626" s="642">
        <f t="shared" si="330"/>
        <v>0</v>
      </c>
      <c r="J626" s="643">
        <f t="shared" si="331"/>
        <v>0</v>
      </c>
      <c r="K626" s="636"/>
      <c r="L626" s="636">
        <f t="shared" si="332"/>
        <v>0</v>
      </c>
      <c r="M626" s="636">
        <f t="shared" si="333"/>
        <v>0</v>
      </c>
    </row>
    <row r="627" spans="1:13">
      <c r="A627" s="637" t="s">
        <v>680</v>
      </c>
      <c r="B627" s="315" t="s">
        <v>629</v>
      </c>
      <c r="C627" s="638">
        <v>1</v>
      </c>
      <c r="D627" s="639" t="s">
        <v>32</v>
      </c>
      <c r="E627" s="655">
        <v>7155.7100000000009</v>
      </c>
      <c r="F627" s="641">
        <f t="shared" si="329"/>
        <v>7155.7100000000009</v>
      </c>
      <c r="G627" s="632"/>
      <c r="H627" s="632"/>
      <c r="I627" s="642">
        <f t="shared" si="330"/>
        <v>0</v>
      </c>
      <c r="J627" s="643">
        <f t="shared" si="331"/>
        <v>0</v>
      </c>
      <c r="K627" s="636"/>
      <c r="L627" s="636">
        <f t="shared" si="332"/>
        <v>0</v>
      </c>
      <c r="M627" s="636">
        <f t="shared" si="333"/>
        <v>0</v>
      </c>
    </row>
    <row r="628" spans="1:13">
      <c r="A628" s="637" t="s">
        <v>681</v>
      </c>
      <c r="B628" s="315" t="s">
        <v>630</v>
      </c>
      <c r="C628" s="638">
        <v>0.5</v>
      </c>
      <c r="D628" s="639" t="s">
        <v>32</v>
      </c>
      <c r="E628" s="655">
        <v>3587.6000000000004</v>
      </c>
      <c r="F628" s="641">
        <f t="shared" si="329"/>
        <v>1793.8000000000002</v>
      </c>
      <c r="G628" s="632"/>
      <c r="H628" s="632"/>
      <c r="I628" s="642">
        <f t="shared" si="330"/>
        <v>0</v>
      </c>
      <c r="J628" s="643">
        <f t="shared" si="331"/>
        <v>0</v>
      </c>
      <c r="K628" s="636"/>
      <c r="L628" s="636">
        <f t="shared" si="332"/>
        <v>0</v>
      </c>
      <c r="M628" s="636">
        <f t="shared" si="333"/>
        <v>0</v>
      </c>
    </row>
    <row r="629" spans="1:13">
      <c r="A629" s="637" t="s">
        <v>681</v>
      </c>
      <c r="B629" s="315" t="s">
        <v>631</v>
      </c>
      <c r="C629" s="638">
        <v>0.5</v>
      </c>
      <c r="D629" s="639" t="s">
        <v>88</v>
      </c>
      <c r="E629" s="655">
        <v>112800</v>
      </c>
      <c r="F629" s="641">
        <f t="shared" si="329"/>
        <v>56400</v>
      </c>
      <c r="G629" s="632"/>
      <c r="H629" s="632"/>
      <c r="I629" s="642">
        <f t="shared" si="330"/>
        <v>0</v>
      </c>
      <c r="J629" s="643">
        <f t="shared" si="331"/>
        <v>0</v>
      </c>
      <c r="K629" s="636"/>
      <c r="L629" s="636">
        <f t="shared" si="332"/>
        <v>0</v>
      </c>
      <c r="M629" s="636">
        <f t="shared" si="333"/>
        <v>0</v>
      </c>
    </row>
    <row r="630" spans="1:13">
      <c r="A630" s="637">
        <v>10.02</v>
      </c>
      <c r="B630" s="315" t="s">
        <v>632</v>
      </c>
      <c r="C630" s="638"/>
      <c r="D630" s="639"/>
      <c r="E630" s="655"/>
      <c r="F630" s="641"/>
      <c r="G630" s="632"/>
      <c r="H630" s="632"/>
      <c r="I630" s="642"/>
      <c r="J630" s="643"/>
      <c r="K630" s="636"/>
      <c r="L630" s="636"/>
      <c r="M630" s="636"/>
    </row>
    <row r="631" spans="1:13">
      <c r="A631" s="637" t="s">
        <v>682</v>
      </c>
      <c r="B631" s="315" t="s">
        <v>633</v>
      </c>
      <c r="C631" s="638">
        <v>5</v>
      </c>
      <c r="D631" s="639" t="s">
        <v>353</v>
      </c>
      <c r="E631" s="655">
        <v>2195.0039999999999</v>
      </c>
      <c r="F631" s="641">
        <f t="shared" si="329"/>
        <v>10975.02</v>
      </c>
      <c r="G631" s="632"/>
      <c r="H631" s="632"/>
      <c r="I631" s="642">
        <f t="shared" si="330"/>
        <v>0</v>
      </c>
      <c r="J631" s="643">
        <f t="shared" si="331"/>
        <v>0</v>
      </c>
      <c r="K631" s="636"/>
      <c r="L631" s="636">
        <f t="shared" si="332"/>
        <v>0</v>
      </c>
      <c r="M631" s="636">
        <f t="shared" si="333"/>
        <v>0</v>
      </c>
    </row>
    <row r="632" spans="1:13">
      <c r="A632" s="637" t="s">
        <v>683</v>
      </c>
      <c r="B632" s="315" t="s">
        <v>625</v>
      </c>
      <c r="C632" s="638">
        <v>0.6</v>
      </c>
      <c r="D632" s="639" t="s">
        <v>189</v>
      </c>
      <c r="E632" s="655">
        <v>2142.8600000000006</v>
      </c>
      <c r="F632" s="641">
        <f t="shared" si="329"/>
        <v>1285.7160000000003</v>
      </c>
      <c r="G632" s="632"/>
      <c r="H632" s="632"/>
      <c r="I632" s="642">
        <f t="shared" si="330"/>
        <v>0</v>
      </c>
      <c r="J632" s="643">
        <f t="shared" si="331"/>
        <v>0</v>
      </c>
      <c r="K632" s="636"/>
      <c r="L632" s="636">
        <f t="shared" si="332"/>
        <v>0</v>
      </c>
      <c r="M632" s="636">
        <f t="shared" si="333"/>
        <v>0</v>
      </c>
    </row>
    <row r="633" spans="1:13">
      <c r="A633" s="637" t="s">
        <v>684</v>
      </c>
      <c r="B633" s="315" t="s">
        <v>634</v>
      </c>
      <c r="C633" s="638">
        <v>0.5</v>
      </c>
      <c r="D633" s="639" t="s">
        <v>32</v>
      </c>
      <c r="E633" s="655">
        <v>4275.0400000000009</v>
      </c>
      <c r="F633" s="641">
        <f t="shared" si="329"/>
        <v>2137.5200000000004</v>
      </c>
      <c r="G633" s="632"/>
      <c r="H633" s="632"/>
      <c r="I633" s="642">
        <f t="shared" si="330"/>
        <v>0</v>
      </c>
      <c r="J633" s="643">
        <f t="shared" si="331"/>
        <v>0</v>
      </c>
      <c r="K633" s="636"/>
      <c r="L633" s="636">
        <f t="shared" si="332"/>
        <v>0</v>
      </c>
      <c r="M633" s="636">
        <f t="shared" si="333"/>
        <v>0</v>
      </c>
    </row>
    <row r="634" spans="1:13">
      <c r="A634" s="637" t="s">
        <v>685</v>
      </c>
      <c r="B634" s="315" t="s">
        <v>630</v>
      </c>
      <c r="C634" s="638">
        <v>0.5</v>
      </c>
      <c r="D634" s="639" t="s">
        <v>32</v>
      </c>
      <c r="E634" s="655">
        <v>3601.3700000000008</v>
      </c>
      <c r="F634" s="641">
        <f t="shared" si="329"/>
        <v>1800.6850000000004</v>
      </c>
      <c r="G634" s="632"/>
      <c r="H634" s="632"/>
      <c r="I634" s="642">
        <f t="shared" si="330"/>
        <v>0</v>
      </c>
      <c r="J634" s="643">
        <f t="shared" si="331"/>
        <v>0</v>
      </c>
      <c r="K634" s="636"/>
      <c r="L634" s="636">
        <f t="shared" si="332"/>
        <v>0</v>
      </c>
      <c r="M634" s="636">
        <f t="shared" si="333"/>
        <v>0</v>
      </c>
    </row>
    <row r="635" spans="1:13">
      <c r="A635" s="637" t="s">
        <v>686</v>
      </c>
      <c r="B635" s="315" t="s">
        <v>635</v>
      </c>
      <c r="C635" s="638">
        <v>0.5</v>
      </c>
      <c r="D635" s="639" t="s">
        <v>32</v>
      </c>
      <c r="E635" s="655">
        <v>4272.6600000000017</v>
      </c>
      <c r="F635" s="641">
        <f t="shared" si="329"/>
        <v>2136.3300000000008</v>
      </c>
      <c r="G635" s="632"/>
      <c r="H635" s="632"/>
      <c r="I635" s="642">
        <f t="shared" si="330"/>
        <v>0</v>
      </c>
      <c r="J635" s="643">
        <f t="shared" si="331"/>
        <v>0</v>
      </c>
      <c r="K635" s="636"/>
      <c r="L635" s="636">
        <f t="shared" si="332"/>
        <v>0</v>
      </c>
      <c r="M635" s="636">
        <f t="shared" si="333"/>
        <v>0</v>
      </c>
    </row>
    <row r="636" spans="1:13">
      <c r="A636" s="637"/>
      <c r="B636" s="315"/>
      <c r="C636" s="638"/>
      <c r="D636" s="639"/>
      <c r="E636" s="655"/>
      <c r="F636" s="772">
        <f>+SUBTOTAL(9,F624:F635)</f>
        <v>138072.67099999994</v>
      </c>
      <c r="G636" s="632"/>
      <c r="H636" s="632"/>
      <c r="I636" s="642"/>
      <c r="J636" s="652"/>
      <c r="K636" s="657">
        <f>+SUBTOTAL(9,K624:K635)</f>
        <v>0</v>
      </c>
      <c r="L636" s="657">
        <f t="shared" ref="L636:M636" si="340">+SUBTOTAL(9,L624:L635)</f>
        <v>0</v>
      </c>
      <c r="M636" s="657">
        <f t="shared" si="340"/>
        <v>0</v>
      </c>
    </row>
    <row r="637" spans="1:13" s="779" customFormat="1">
      <c r="A637" s="628">
        <v>11</v>
      </c>
      <c r="B637" s="301" t="s">
        <v>636</v>
      </c>
      <c r="C637" s="774"/>
      <c r="D637" s="649"/>
      <c r="E637" s="775"/>
      <c r="F637" s="776"/>
      <c r="G637" s="777"/>
      <c r="H637" s="777"/>
      <c r="I637" s="780"/>
      <c r="J637" s="781"/>
      <c r="K637" s="778"/>
      <c r="L637" s="778"/>
      <c r="M637" s="778"/>
    </row>
    <row r="638" spans="1:13">
      <c r="A638" s="637">
        <v>11.01</v>
      </c>
      <c r="B638" s="315" t="s">
        <v>637</v>
      </c>
      <c r="C638" s="638">
        <v>19</v>
      </c>
      <c r="D638" s="639" t="s">
        <v>32</v>
      </c>
      <c r="E638" s="655">
        <v>497.10600000000017</v>
      </c>
      <c r="F638" s="641">
        <f t="shared" si="329"/>
        <v>9445.0140000000029</v>
      </c>
      <c r="G638" s="632"/>
      <c r="H638" s="632"/>
      <c r="I638" s="642">
        <f t="shared" si="330"/>
        <v>0</v>
      </c>
      <c r="J638" s="643">
        <f t="shared" si="331"/>
        <v>0</v>
      </c>
      <c r="K638" s="636"/>
      <c r="L638" s="636">
        <f t="shared" si="332"/>
        <v>0</v>
      </c>
      <c r="M638" s="636">
        <f t="shared" si="333"/>
        <v>0</v>
      </c>
    </row>
    <row r="639" spans="1:13">
      <c r="A639" s="637">
        <v>11.02</v>
      </c>
      <c r="B639" s="315" t="s">
        <v>638</v>
      </c>
      <c r="C639" s="638">
        <v>6</v>
      </c>
      <c r="D639" s="639" t="s">
        <v>32</v>
      </c>
      <c r="E639" s="655">
        <v>543.6</v>
      </c>
      <c r="F639" s="641">
        <f t="shared" si="329"/>
        <v>3261.6000000000004</v>
      </c>
      <c r="G639" s="632"/>
      <c r="H639" s="632"/>
      <c r="I639" s="642">
        <f t="shared" si="330"/>
        <v>0</v>
      </c>
      <c r="J639" s="643">
        <f t="shared" si="331"/>
        <v>0</v>
      </c>
      <c r="K639" s="636"/>
      <c r="L639" s="636">
        <f t="shared" si="332"/>
        <v>0</v>
      </c>
      <c r="M639" s="636">
        <f t="shared" si="333"/>
        <v>0</v>
      </c>
    </row>
    <row r="640" spans="1:13">
      <c r="A640" s="637">
        <v>11.03</v>
      </c>
      <c r="B640" s="315" t="s">
        <v>639</v>
      </c>
      <c r="C640" s="638">
        <v>1</v>
      </c>
      <c r="D640" s="639" t="s">
        <v>32</v>
      </c>
      <c r="E640" s="655">
        <v>720.18000000000029</v>
      </c>
      <c r="F640" s="641">
        <f t="shared" si="329"/>
        <v>720.18000000000029</v>
      </c>
      <c r="G640" s="632"/>
      <c r="H640" s="632"/>
      <c r="I640" s="642">
        <f t="shared" si="330"/>
        <v>0</v>
      </c>
      <c r="J640" s="643">
        <f t="shared" si="331"/>
        <v>0</v>
      </c>
      <c r="K640" s="636"/>
      <c r="L640" s="636">
        <f t="shared" si="332"/>
        <v>0</v>
      </c>
      <c r="M640" s="636">
        <f t="shared" si="333"/>
        <v>0</v>
      </c>
    </row>
    <row r="641" spans="1:13">
      <c r="A641" s="637">
        <v>11.04</v>
      </c>
      <c r="B641" s="315" t="s">
        <v>640</v>
      </c>
      <c r="C641" s="638">
        <v>1.5</v>
      </c>
      <c r="D641" s="639" t="s">
        <v>32</v>
      </c>
      <c r="E641" s="655">
        <v>2505.342666666666</v>
      </c>
      <c r="F641" s="641">
        <f t="shared" si="329"/>
        <v>3758.0139999999992</v>
      </c>
      <c r="G641" s="632"/>
      <c r="H641" s="632"/>
      <c r="I641" s="642">
        <f t="shared" si="330"/>
        <v>0</v>
      </c>
      <c r="J641" s="643">
        <f t="shared" si="331"/>
        <v>0</v>
      </c>
      <c r="K641" s="636"/>
      <c r="L641" s="636">
        <f t="shared" si="332"/>
        <v>0</v>
      </c>
      <c r="M641" s="636">
        <f t="shared" si="333"/>
        <v>0</v>
      </c>
    </row>
    <row r="642" spans="1:13">
      <c r="A642" s="637">
        <v>11.049999999999999</v>
      </c>
      <c r="B642" s="315" t="s">
        <v>641</v>
      </c>
      <c r="C642" s="638">
        <v>1</v>
      </c>
      <c r="D642" s="639" t="s">
        <v>32</v>
      </c>
      <c r="E642" s="655">
        <v>660.37400000000025</v>
      </c>
      <c r="F642" s="641">
        <f t="shared" si="329"/>
        <v>660.37400000000025</v>
      </c>
      <c r="G642" s="632"/>
      <c r="H642" s="632"/>
      <c r="I642" s="642">
        <f t="shared" si="330"/>
        <v>0</v>
      </c>
      <c r="J642" s="643">
        <f t="shared" si="331"/>
        <v>0</v>
      </c>
      <c r="K642" s="636"/>
      <c r="L642" s="636">
        <f t="shared" si="332"/>
        <v>0</v>
      </c>
      <c r="M642" s="636">
        <f t="shared" si="333"/>
        <v>0</v>
      </c>
    </row>
    <row r="643" spans="1:13">
      <c r="A643" s="637">
        <v>11.059999999999999</v>
      </c>
      <c r="B643" s="315" t="s">
        <v>642</v>
      </c>
      <c r="C643" s="638">
        <v>25</v>
      </c>
      <c r="D643" s="639" t="s">
        <v>32</v>
      </c>
      <c r="E643" s="655">
        <v>688.73999999999967</v>
      </c>
      <c r="F643" s="641">
        <f t="shared" si="329"/>
        <v>17218.499999999993</v>
      </c>
      <c r="G643" s="632"/>
      <c r="H643" s="632"/>
      <c r="I643" s="642">
        <f t="shared" si="330"/>
        <v>0</v>
      </c>
      <c r="J643" s="643">
        <f t="shared" si="331"/>
        <v>0</v>
      </c>
      <c r="K643" s="636"/>
      <c r="L643" s="636">
        <f t="shared" si="332"/>
        <v>0</v>
      </c>
      <c r="M643" s="636">
        <f t="shared" si="333"/>
        <v>0</v>
      </c>
    </row>
    <row r="644" spans="1:13">
      <c r="A644" s="637">
        <v>11.069999999999999</v>
      </c>
      <c r="B644" s="315" t="s">
        <v>643</v>
      </c>
      <c r="C644" s="638">
        <v>7</v>
      </c>
      <c r="D644" s="639" t="s">
        <v>32</v>
      </c>
      <c r="E644" s="655">
        <v>1311.5260000000001</v>
      </c>
      <c r="F644" s="641">
        <f t="shared" si="329"/>
        <v>9180.6820000000007</v>
      </c>
      <c r="G644" s="632"/>
      <c r="H644" s="632"/>
      <c r="I644" s="642">
        <f t="shared" si="330"/>
        <v>0</v>
      </c>
      <c r="J644" s="643">
        <f t="shared" si="331"/>
        <v>0</v>
      </c>
      <c r="K644" s="636"/>
      <c r="L644" s="636">
        <f t="shared" si="332"/>
        <v>0</v>
      </c>
      <c r="M644" s="636">
        <f t="shared" si="333"/>
        <v>0</v>
      </c>
    </row>
    <row r="645" spans="1:13">
      <c r="A645" s="637">
        <v>11.079999999999998</v>
      </c>
      <c r="B645" s="315" t="s">
        <v>644</v>
      </c>
      <c r="C645" s="638">
        <v>12</v>
      </c>
      <c r="D645" s="639" t="s">
        <v>32</v>
      </c>
      <c r="E645" s="655">
        <v>339.20400000000001</v>
      </c>
      <c r="F645" s="641">
        <f t="shared" si="329"/>
        <v>4070.4480000000003</v>
      </c>
      <c r="G645" s="632"/>
      <c r="H645" s="632"/>
      <c r="I645" s="642">
        <f t="shared" si="330"/>
        <v>0</v>
      </c>
      <c r="J645" s="643">
        <f t="shared" si="331"/>
        <v>0</v>
      </c>
      <c r="K645" s="636"/>
      <c r="L645" s="636">
        <f t="shared" si="332"/>
        <v>0</v>
      </c>
      <c r="M645" s="636">
        <f t="shared" si="333"/>
        <v>0</v>
      </c>
    </row>
    <row r="646" spans="1:13">
      <c r="A646" s="637">
        <v>11.089999999999998</v>
      </c>
      <c r="B646" s="315" t="s">
        <v>645</v>
      </c>
      <c r="C646" s="638">
        <v>0.5</v>
      </c>
      <c r="D646" s="639" t="s">
        <v>32</v>
      </c>
      <c r="E646" s="655">
        <v>8650.1759999999995</v>
      </c>
      <c r="F646" s="641">
        <f t="shared" si="329"/>
        <v>4325.0879999999997</v>
      </c>
      <c r="G646" s="632"/>
      <c r="H646" s="632"/>
      <c r="I646" s="642">
        <f t="shared" si="330"/>
        <v>0</v>
      </c>
      <c r="J646" s="643">
        <f t="shared" si="331"/>
        <v>0</v>
      </c>
      <c r="K646" s="636"/>
      <c r="L646" s="636">
        <f t="shared" si="332"/>
        <v>0</v>
      </c>
      <c r="M646" s="636">
        <f t="shared" si="333"/>
        <v>0</v>
      </c>
    </row>
    <row r="647" spans="1:13">
      <c r="A647" s="637"/>
      <c r="B647" s="315"/>
      <c r="C647" s="638"/>
      <c r="D647" s="639"/>
      <c r="E647" s="655"/>
      <c r="F647" s="772">
        <f>+SUBTOTAL(9,F638:F646)</f>
        <v>52639.900000000009</v>
      </c>
      <c r="G647" s="632"/>
      <c r="H647" s="632"/>
      <c r="I647" s="642"/>
      <c r="J647" s="652"/>
      <c r="K647" s="657">
        <f>+SUBTOTAL(9,K638:K646)</f>
        <v>0</v>
      </c>
      <c r="L647" s="657">
        <f t="shared" ref="L647:M647" si="341">+SUBTOTAL(9,L638:L646)</f>
        <v>0</v>
      </c>
      <c r="M647" s="657">
        <f t="shared" si="341"/>
        <v>0</v>
      </c>
    </row>
    <row r="648" spans="1:13" s="779" customFormat="1">
      <c r="A648" s="628" t="s">
        <v>195</v>
      </c>
      <c r="B648" s="301" t="s">
        <v>646</v>
      </c>
      <c r="C648" s="774"/>
      <c r="D648" s="649"/>
      <c r="E648" s="775"/>
      <c r="F648" s="776"/>
      <c r="G648" s="777"/>
      <c r="H648" s="777"/>
      <c r="I648" s="780"/>
      <c r="J648" s="781"/>
      <c r="K648" s="778"/>
      <c r="L648" s="778"/>
      <c r="M648" s="778"/>
    </row>
    <row r="649" spans="1:13" s="779" customFormat="1">
      <c r="A649" s="628"/>
      <c r="B649" s="301"/>
      <c r="C649" s="774"/>
      <c r="D649" s="649"/>
      <c r="E649" s="775"/>
      <c r="F649" s="776"/>
      <c r="G649" s="777"/>
      <c r="H649" s="777"/>
      <c r="I649" s="780"/>
      <c r="J649" s="781"/>
      <c r="K649" s="778"/>
      <c r="L649" s="778"/>
      <c r="M649" s="778"/>
    </row>
    <row r="650" spans="1:13" s="779" customFormat="1">
      <c r="A650" s="628">
        <v>4</v>
      </c>
      <c r="B650" s="301" t="s">
        <v>675</v>
      </c>
      <c r="C650" s="774"/>
      <c r="D650" s="649"/>
      <c r="E650" s="775"/>
      <c r="F650" s="776"/>
      <c r="G650" s="777"/>
      <c r="H650" s="777"/>
      <c r="I650" s="780"/>
      <c r="J650" s="781"/>
      <c r="K650" s="778"/>
      <c r="L650" s="778"/>
      <c r="M650" s="778"/>
    </row>
    <row r="651" spans="1:13">
      <c r="A651" s="637">
        <v>4.01</v>
      </c>
      <c r="B651" s="315" t="s">
        <v>676</v>
      </c>
      <c r="C651" s="638">
        <v>32</v>
      </c>
      <c r="D651" s="639" t="s">
        <v>189</v>
      </c>
      <c r="E651" s="655">
        <v>4567.0950000000003</v>
      </c>
      <c r="F651" s="641">
        <f t="shared" si="329"/>
        <v>146147.04</v>
      </c>
      <c r="G651" s="632"/>
      <c r="H651" s="632"/>
      <c r="I651" s="642">
        <f t="shared" si="330"/>
        <v>0</v>
      </c>
      <c r="J651" s="643">
        <f t="shared" si="331"/>
        <v>0</v>
      </c>
      <c r="K651" s="636"/>
      <c r="L651" s="636">
        <f t="shared" si="332"/>
        <v>0</v>
      </c>
      <c r="M651" s="636">
        <f t="shared" si="333"/>
        <v>0</v>
      </c>
    </row>
    <row r="652" spans="1:13">
      <c r="A652" s="637">
        <v>4.0199999999999996</v>
      </c>
      <c r="B652" s="315" t="s">
        <v>603</v>
      </c>
      <c r="C652" s="638">
        <v>2.6</v>
      </c>
      <c r="D652" s="639" t="s">
        <v>189</v>
      </c>
      <c r="E652" s="655">
        <v>4617.0950000000003</v>
      </c>
      <c r="F652" s="641">
        <f t="shared" si="329"/>
        <v>12004.447000000002</v>
      </c>
      <c r="G652" s="632"/>
      <c r="H652" s="632"/>
      <c r="I652" s="642">
        <f t="shared" si="330"/>
        <v>0</v>
      </c>
      <c r="J652" s="643">
        <f t="shared" si="331"/>
        <v>0</v>
      </c>
      <c r="K652" s="636"/>
      <c r="L652" s="636">
        <f t="shared" si="332"/>
        <v>0</v>
      </c>
      <c r="M652" s="636">
        <f t="shared" si="333"/>
        <v>0</v>
      </c>
    </row>
    <row r="653" spans="1:13">
      <c r="A653" s="637">
        <v>4.0299999999999994</v>
      </c>
      <c r="B653" s="315" t="s">
        <v>604</v>
      </c>
      <c r="C653" s="638">
        <v>3240.0511999999999</v>
      </c>
      <c r="D653" s="639" t="s">
        <v>605</v>
      </c>
      <c r="E653" s="655">
        <v>648.99999999999989</v>
      </c>
      <c r="F653" s="641">
        <f t="shared" si="329"/>
        <v>2102793.2287999997</v>
      </c>
      <c r="G653" s="632"/>
      <c r="H653" s="632"/>
      <c r="I653" s="642">
        <f t="shared" si="330"/>
        <v>0</v>
      </c>
      <c r="J653" s="643">
        <f t="shared" si="331"/>
        <v>0</v>
      </c>
      <c r="K653" s="636"/>
      <c r="L653" s="636">
        <f t="shared" si="332"/>
        <v>0</v>
      </c>
      <c r="M653" s="636">
        <f t="shared" si="333"/>
        <v>0</v>
      </c>
    </row>
    <row r="654" spans="1:13">
      <c r="A654" s="637">
        <v>4.0399999999999991</v>
      </c>
      <c r="B654" s="315" t="s">
        <v>606</v>
      </c>
      <c r="C654" s="638">
        <v>144</v>
      </c>
      <c r="D654" s="639" t="s">
        <v>189</v>
      </c>
      <c r="E654" s="655">
        <v>6983.24</v>
      </c>
      <c r="F654" s="641">
        <f t="shared" si="329"/>
        <v>1005586.5599999999</v>
      </c>
      <c r="G654" s="632"/>
      <c r="H654" s="632"/>
      <c r="I654" s="642">
        <f t="shared" si="330"/>
        <v>0</v>
      </c>
      <c r="J654" s="643">
        <f t="shared" si="331"/>
        <v>0</v>
      </c>
      <c r="K654" s="636"/>
      <c r="L654" s="636">
        <f t="shared" si="332"/>
        <v>0</v>
      </c>
      <c r="M654" s="636">
        <f t="shared" si="333"/>
        <v>0</v>
      </c>
    </row>
    <row r="655" spans="1:13">
      <c r="A655" s="637">
        <v>4.0499999999999989</v>
      </c>
      <c r="B655" s="315" t="s">
        <v>607</v>
      </c>
      <c r="C655" s="638">
        <v>59.19</v>
      </c>
      <c r="D655" s="639" t="s">
        <v>189</v>
      </c>
      <c r="E655" s="655">
        <v>798.38811383928498</v>
      </c>
      <c r="F655" s="641">
        <f t="shared" si="329"/>
        <v>47256.592458147279</v>
      </c>
      <c r="G655" s="632"/>
      <c r="H655" s="632"/>
      <c r="I655" s="642">
        <f t="shared" si="330"/>
        <v>0</v>
      </c>
      <c r="J655" s="643">
        <f t="shared" si="331"/>
        <v>0</v>
      </c>
      <c r="K655" s="636"/>
      <c r="L655" s="636">
        <f t="shared" si="332"/>
        <v>0</v>
      </c>
      <c r="M655" s="636">
        <f t="shared" si="333"/>
        <v>0</v>
      </c>
    </row>
    <row r="656" spans="1:13">
      <c r="A656" s="637">
        <v>4.0599999999999987</v>
      </c>
      <c r="B656" s="315" t="s">
        <v>608</v>
      </c>
      <c r="C656" s="638">
        <v>35</v>
      </c>
      <c r="D656" s="639" t="s">
        <v>189</v>
      </c>
      <c r="E656" s="655">
        <v>145.2730241672111</v>
      </c>
      <c r="F656" s="641">
        <f t="shared" si="329"/>
        <v>5084.5558458523883</v>
      </c>
      <c r="G656" s="632"/>
      <c r="H656" s="632"/>
      <c r="I656" s="642">
        <f t="shared" si="330"/>
        <v>0</v>
      </c>
      <c r="J656" s="643">
        <f t="shared" si="331"/>
        <v>0</v>
      </c>
      <c r="K656" s="636"/>
      <c r="L656" s="636">
        <f t="shared" si="332"/>
        <v>0</v>
      </c>
      <c r="M656" s="636">
        <f t="shared" si="333"/>
        <v>0</v>
      </c>
    </row>
    <row r="657" spans="1:13">
      <c r="A657" s="637"/>
      <c r="B657" s="315"/>
      <c r="C657" s="638"/>
      <c r="D657" s="639"/>
      <c r="E657" s="655"/>
      <c r="F657" s="772">
        <f>+SUBTOTAL(9,F651:F656)</f>
        <v>3318872.4241039995</v>
      </c>
      <c r="G657" s="632"/>
      <c r="H657" s="632"/>
      <c r="I657" s="642"/>
      <c r="J657" s="652"/>
      <c r="K657" s="657">
        <f>+SUBTOTAL(9,K651:K656)</f>
        <v>0</v>
      </c>
      <c r="L657" s="657">
        <f t="shared" ref="L657:M657" si="342">+SUBTOTAL(9,L651:L656)</f>
        <v>0</v>
      </c>
      <c r="M657" s="657">
        <f t="shared" si="342"/>
        <v>0</v>
      </c>
    </row>
    <row r="658" spans="1:13" s="779" customFormat="1">
      <c r="A658" s="628">
        <v>5</v>
      </c>
      <c r="B658" s="301" t="s">
        <v>609</v>
      </c>
      <c r="C658" s="774"/>
      <c r="D658" s="649"/>
      <c r="E658" s="775"/>
      <c r="F658" s="776"/>
      <c r="G658" s="777"/>
      <c r="H658" s="777"/>
      <c r="I658" s="780"/>
      <c r="J658" s="781"/>
      <c r="K658" s="778"/>
      <c r="L658" s="778"/>
      <c r="M658" s="778"/>
    </row>
    <row r="659" spans="1:13">
      <c r="A659" s="637">
        <v>5.01</v>
      </c>
      <c r="B659" s="315" t="s">
        <v>610</v>
      </c>
      <c r="C659" s="638">
        <v>590</v>
      </c>
      <c r="D659" s="639" t="s">
        <v>189</v>
      </c>
      <c r="E659" s="655">
        <v>4565.3350000000009</v>
      </c>
      <c r="F659" s="641">
        <f t="shared" ref="F659:F720" si="343">+E659*C659</f>
        <v>2693547.6500000004</v>
      </c>
      <c r="G659" s="632"/>
      <c r="H659" s="632"/>
      <c r="I659" s="642">
        <f t="shared" ref="I659:I720" si="344">+H659+G659</f>
        <v>0</v>
      </c>
      <c r="J659" s="643">
        <f t="shared" ref="J659:J720" si="345">I659/C659</f>
        <v>0</v>
      </c>
      <c r="K659" s="636"/>
      <c r="L659" s="636">
        <f t="shared" ref="L659:L720" si="346">+H659*E659</f>
        <v>0</v>
      </c>
      <c r="M659" s="636">
        <f t="shared" ref="M659:M720" si="347">K659+L659</f>
        <v>0</v>
      </c>
    </row>
    <row r="660" spans="1:13">
      <c r="A660" s="637">
        <v>5.0199999999999996</v>
      </c>
      <c r="B660" s="315" t="s">
        <v>611</v>
      </c>
      <c r="C660" s="638">
        <v>265</v>
      </c>
      <c r="D660" s="639" t="s">
        <v>30</v>
      </c>
      <c r="E660" s="655">
        <v>554.64480000000003</v>
      </c>
      <c r="F660" s="641">
        <f t="shared" si="343"/>
        <v>146980.872</v>
      </c>
      <c r="G660" s="632"/>
      <c r="H660" s="632"/>
      <c r="I660" s="642">
        <f t="shared" si="344"/>
        <v>0</v>
      </c>
      <c r="J660" s="643">
        <f t="shared" si="345"/>
        <v>0</v>
      </c>
      <c r="K660" s="636"/>
      <c r="L660" s="636">
        <f t="shared" si="346"/>
        <v>0</v>
      </c>
      <c r="M660" s="636">
        <f t="shared" si="347"/>
        <v>0</v>
      </c>
    </row>
    <row r="661" spans="1:13">
      <c r="A661" s="637">
        <v>5.0299999999999994</v>
      </c>
      <c r="B661" s="315" t="s">
        <v>677</v>
      </c>
      <c r="C661" s="638">
        <v>35</v>
      </c>
      <c r="D661" s="639" t="s">
        <v>189</v>
      </c>
      <c r="E661" s="655">
        <v>4417.415</v>
      </c>
      <c r="F661" s="641">
        <f t="shared" si="343"/>
        <v>154609.52499999999</v>
      </c>
      <c r="G661" s="632"/>
      <c r="H661" s="632"/>
      <c r="I661" s="642">
        <f t="shared" si="344"/>
        <v>0</v>
      </c>
      <c r="J661" s="643">
        <f t="shared" si="345"/>
        <v>0</v>
      </c>
      <c r="K661" s="636"/>
      <c r="L661" s="636">
        <f t="shared" si="346"/>
        <v>0</v>
      </c>
      <c r="M661" s="636">
        <f t="shared" si="347"/>
        <v>0</v>
      </c>
    </row>
    <row r="662" spans="1:13">
      <c r="A662" s="637"/>
      <c r="B662" s="315"/>
      <c r="C662" s="638"/>
      <c r="D662" s="639"/>
      <c r="E662" s="655"/>
      <c r="F662" s="772">
        <f>+SUBTOTAL(9,F659:F661)</f>
        <v>2995138.0470000003</v>
      </c>
      <c r="G662" s="632"/>
      <c r="H662" s="632"/>
      <c r="I662" s="642"/>
      <c r="J662" s="652"/>
      <c r="K662" s="657">
        <f>+SUBTOTAL(9,K659:K661)</f>
        <v>0</v>
      </c>
      <c r="L662" s="657">
        <f t="shared" ref="L662:M662" si="348">+SUBTOTAL(9,L659:L661)</f>
        <v>0</v>
      </c>
      <c r="M662" s="657">
        <f t="shared" si="348"/>
        <v>0</v>
      </c>
    </row>
    <row r="663" spans="1:13" s="779" customFormat="1">
      <c r="A663" s="628">
        <v>6</v>
      </c>
      <c r="B663" s="301" t="s">
        <v>613</v>
      </c>
      <c r="C663" s="774"/>
      <c r="D663" s="649"/>
      <c r="E663" s="775"/>
      <c r="F663" s="776"/>
      <c r="G663" s="777"/>
      <c r="H663" s="777"/>
      <c r="I663" s="780"/>
      <c r="J663" s="781"/>
      <c r="K663" s="778"/>
      <c r="L663" s="778"/>
      <c r="M663" s="778"/>
    </row>
    <row r="664" spans="1:13" ht="26.25">
      <c r="A664" s="637">
        <v>6.01</v>
      </c>
      <c r="B664" s="315" t="s">
        <v>614</v>
      </c>
      <c r="C664" s="638">
        <v>3</v>
      </c>
      <c r="D664" s="639" t="s">
        <v>32</v>
      </c>
      <c r="E664" s="655">
        <v>49140.664499999984</v>
      </c>
      <c r="F664" s="641">
        <f t="shared" si="343"/>
        <v>147421.99349999995</v>
      </c>
      <c r="G664" s="632"/>
      <c r="H664" s="632"/>
      <c r="I664" s="642">
        <f t="shared" si="344"/>
        <v>0</v>
      </c>
      <c r="J664" s="643">
        <f t="shared" si="345"/>
        <v>0</v>
      </c>
      <c r="K664" s="636"/>
      <c r="L664" s="636">
        <f t="shared" si="346"/>
        <v>0</v>
      </c>
      <c r="M664" s="636">
        <f t="shared" si="347"/>
        <v>0</v>
      </c>
    </row>
    <row r="665" spans="1:13">
      <c r="A665" s="637">
        <v>6.02</v>
      </c>
      <c r="B665" s="315" t="s">
        <v>678</v>
      </c>
      <c r="C665" s="638">
        <v>3</v>
      </c>
      <c r="D665" s="639" t="s">
        <v>32</v>
      </c>
      <c r="E665" s="655">
        <v>11151.356099999999</v>
      </c>
      <c r="F665" s="641">
        <f t="shared" si="343"/>
        <v>33454.068299999999</v>
      </c>
      <c r="G665" s="632"/>
      <c r="H665" s="632"/>
      <c r="I665" s="642">
        <f t="shared" si="344"/>
        <v>0</v>
      </c>
      <c r="J665" s="643">
        <f t="shared" si="345"/>
        <v>0</v>
      </c>
      <c r="K665" s="636"/>
      <c r="L665" s="636">
        <f t="shared" si="346"/>
        <v>0</v>
      </c>
      <c r="M665" s="636">
        <f t="shared" si="347"/>
        <v>0</v>
      </c>
    </row>
    <row r="666" spans="1:13">
      <c r="A666" s="637">
        <v>6.0299999999999994</v>
      </c>
      <c r="B666" s="315" t="s">
        <v>679</v>
      </c>
      <c r="C666" s="638">
        <v>1</v>
      </c>
      <c r="D666" s="639" t="s">
        <v>32</v>
      </c>
      <c r="E666" s="655">
        <v>21224.215700000001</v>
      </c>
      <c r="F666" s="641">
        <f t="shared" si="343"/>
        <v>21224.215700000001</v>
      </c>
      <c r="G666" s="632"/>
      <c r="H666" s="632"/>
      <c r="I666" s="642">
        <f t="shared" si="344"/>
        <v>0</v>
      </c>
      <c r="J666" s="643">
        <f t="shared" si="345"/>
        <v>0</v>
      </c>
      <c r="K666" s="636"/>
      <c r="L666" s="636">
        <f t="shared" si="346"/>
        <v>0</v>
      </c>
      <c r="M666" s="636">
        <f t="shared" si="347"/>
        <v>0</v>
      </c>
    </row>
    <row r="667" spans="1:13">
      <c r="A667" s="637"/>
      <c r="B667" s="315"/>
      <c r="C667" s="638"/>
      <c r="D667" s="639"/>
      <c r="E667" s="655"/>
      <c r="F667" s="772">
        <f>+SUBTOTAL(9,F664:F666)</f>
        <v>202100.27749999997</v>
      </c>
      <c r="G667" s="632"/>
      <c r="H667" s="632"/>
      <c r="I667" s="642"/>
      <c r="J667" s="652"/>
      <c r="K667" s="657">
        <f>+SUBTOTAL(9,K664:K666)</f>
        <v>0</v>
      </c>
      <c r="L667" s="657">
        <f t="shared" ref="L667:M667" si="349">+SUBTOTAL(9,L664:L666)</f>
        <v>0</v>
      </c>
      <c r="M667" s="657">
        <f t="shared" si="349"/>
        <v>0</v>
      </c>
    </row>
    <row r="668" spans="1:13" s="779" customFormat="1">
      <c r="A668" s="628">
        <v>7</v>
      </c>
      <c r="B668" s="301" t="s">
        <v>617</v>
      </c>
      <c r="C668" s="774"/>
      <c r="D668" s="649"/>
      <c r="E668" s="775"/>
      <c r="F668" s="776"/>
      <c r="G668" s="777"/>
      <c r="H668" s="777"/>
      <c r="I668" s="780"/>
      <c r="J668" s="781"/>
      <c r="K668" s="778"/>
      <c r="L668" s="778"/>
      <c r="M668" s="778"/>
    </row>
    <row r="669" spans="1:13" ht="26.25">
      <c r="A669" s="637">
        <v>7.01</v>
      </c>
      <c r="B669" s="315" t="s">
        <v>618</v>
      </c>
      <c r="C669" s="638">
        <v>10.34</v>
      </c>
      <c r="D669" s="639" t="s">
        <v>605</v>
      </c>
      <c r="E669" s="655">
        <v>474.94999999999987</v>
      </c>
      <c r="F669" s="641">
        <f t="shared" si="343"/>
        <v>4910.9829999999984</v>
      </c>
      <c r="G669" s="632"/>
      <c r="H669" s="632"/>
      <c r="I669" s="642">
        <f t="shared" si="344"/>
        <v>0</v>
      </c>
      <c r="J669" s="643">
        <f t="shared" si="345"/>
        <v>0</v>
      </c>
      <c r="K669" s="636"/>
      <c r="L669" s="636">
        <f t="shared" si="346"/>
        <v>0</v>
      </c>
      <c r="M669" s="636">
        <f t="shared" si="347"/>
        <v>0</v>
      </c>
    </row>
    <row r="670" spans="1:13">
      <c r="A670" s="637"/>
      <c r="B670" s="315"/>
      <c r="C670" s="638"/>
      <c r="D670" s="639"/>
      <c r="E670" s="655"/>
      <c r="F670" s="772">
        <f>+SUBTOTAL(9,F669)</f>
        <v>4910.9829999999984</v>
      </c>
      <c r="G670" s="632"/>
      <c r="H670" s="632"/>
      <c r="I670" s="642"/>
      <c r="J670" s="652"/>
      <c r="K670" s="657">
        <f>+SUBTOTAL(9,K669)</f>
        <v>0</v>
      </c>
      <c r="L670" s="657">
        <f t="shared" ref="L670:M670" si="350">+SUBTOTAL(9,L669)</f>
        <v>0</v>
      </c>
      <c r="M670" s="657">
        <f t="shared" si="350"/>
        <v>0</v>
      </c>
    </row>
    <row r="671" spans="1:13" s="779" customFormat="1">
      <c r="A671" s="628">
        <v>8</v>
      </c>
      <c r="B671" s="301" t="s">
        <v>274</v>
      </c>
      <c r="C671" s="774"/>
      <c r="D671" s="649"/>
      <c r="E671" s="775"/>
      <c r="F671" s="776"/>
      <c r="G671" s="777"/>
      <c r="H671" s="777"/>
      <c r="I671" s="780"/>
      <c r="J671" s="781"/>
      <c r="K671" s="778"/>
      <c r="L671" s="778"/>
      <c r="M671" s="778"/>
    </row>
    <row r="672" spans="1:13">
      <c r="A672" s="637">
        <v>8.01</v>
      </c>
      <c r="B672" s="315" t="s">
        <v>619</v>
      </c>
      <c r="C672" s="638">
        <v>14.96</v>
      </c>
      <c r="D672" s="639" t="s">
        <v>30</v>
      </c>
      <c r="E672" s="655">
        <v>319.56110000000018</v>
      </c>
      <c r="F672" s="641">
        <f t="shared" si="343"/>
        <v>4780.6340560000026</v>
      </c>
      <c r="G672" s="632"/>
      <c r="H672" s="632"/>
      <c r="I672" s="642">
        <f t="shared" si="344"/>
        <v>0</v>
      </c>
      <c r="J672" s="643">
        <f t="shared" si="345"/>
        <v>0</v>
      </c>
      <c r="K672" s="636"/>
      <c r="L672" s="636">
        <f t="shared" si="346"/>
        <v>0</v>
      </c>
      <c r="M672" s="636">
        <f t="shared" si="347"/>
        <v>0</v>
      </c>
    </row>
    <row r="673" spans="1:13">
      <c r="A673" s="637">
        <v>8.02</v>
      </c>
      <c r="B673" s="315" t="s">
        <v>620</v>
      </c>
      <c r="C673" s="638">
        <v>4</v>
      </c>
      <c r="D673" s="639" t="s">
        <v>189</v>
      </c>
      <c r="E673" s="655">
        <v>4565.335</v>
      </c>
      <c r="F673" s="641">
        <f t="shared" si="343"/>
        <v>18261.34</v>
      </c>
      <c r="G673" s="632"/>
      <c r="H673" s="632"/>
      <c r="I673" s="642">
        <f t="shared" si="344"/>
        <v>0</v>
      </c>
      <c r="J673" s="643">
        <f t="shared" si="345"/>
        <v>0</v>
      </c>
      <c r="K673" s="636"/>
      <c r="L673" s="636">
        <f t="shared" si="346"/>
        <v>0</v>
      </c>
      <c r="M673" s="636">
        <f t="shared" si="347"/>
        <v>0</v>
      </c>
    </row>
    <row r="674" spans="1:13">
      <c r="A674" s="637"/>
      <c r="B674" s="315"/>
      <c r="C674" s="638"/>
      <c r="D674" s="639"/>
      <c r="E674" s="655"/>
      <c r="F674" s="772">
        <f>+SUBTOTAL(9,F672:F673)</f>
        <v>23041.974056000003</v>
      </c>
      <c r="G674" s="632"/>
      <c r="H674" s="632"/>
      <c r="I674" s="642"/>
      <c r="J674" s="652"/>
      <c r="K674" s="657">
        <f>+SUBTOTAL(9,K672:K673)</f>
        <v>0</v>
      </c>
      <c r="L674" s="657">
        <f t="shared" ref="L674:M674" si="351">+SUBTOTAL(9,L672:L673)</f>
        <v>0</v>
      </c>
      <c r="M674" s="657">
        <f t="shared" si="351"/>
        <v>0</v>
      </c>
    </row>
    <row r="675" spans="1:13" s="779" customFormat="1">
      <c r="A675" s="628">
        <v>9</v>
      </c>
      <c r="B675" s="301" t="s">
        <v>691</v>
      </c>
      <c r="C675" s="774"/>
      <c r="D675" s="649"/>
      <c r="E675" s="775"/>
      <c r="F675" s="776"/>
      <c r="G675" s="777"/>
      <c r="H675" s="777"/>
      <c r="I675" s="780"/>
      <c r="J675" s="781"/>
      <c r="K675" s="778"/>
      <c r="L675" s="778"/>
      <c r="M675" s="778"/>
    </row>
    <row r="676" spans="1:13">
      <c r="A676" s="637">
        <v>9.01</v>
      </c>
      <c r="B676" s="315" t="s">
        <v>622</v>
      </c>
      <c r="C676" s="638">
        <v>1621.52</v>
      </c>
      <c r="D676" s="639" t="s">
        <v>189</v>
      </c>
      <c r="E676" s="655">
        <v>434.54000000000008</v>
      </c>
      <c r="F676" s="641">
        <f t="shared" si="343"/>
        <v>704615.30080000008</v>
      </c>
      <c r="G676" s="632"/>
      <c r="H676" s="632"/>
      <c r="I676" s="642">
        <f t="shared" si="344"/>
        <v>0</v>
      </c>
      <c r="J676" s="643">
        <f t="shared" si="345"/>
        <v>0</v>
      </c>
      <c r="K676" s="636"/>
      <c r="L676" s="636">
        <f t="shared" si="346"/>
        <v>0</v>
      </c>
      <c r="M676" s="636">
        <f t="shared" si="347"/>
        <v>0</v>
      </c>
    </row>
    <row r="677" spans="1:13">
      <c r="A677" s="637"/>
      <c r="B677" s="315"/>
      <c r="C677" s="638"/>
      <c r="D677" s="639"/>
      <c r="E677" s="655"/>
      <c r="F677" s="772">
        <f>+SUBTOTAL(9,F676)</f>
        <v>704615.30080000008</v>
      </c>
      <c r="G677" s="632"/>
      <c r="H677" s="632"/>
      <c r="I677" s="642"/>
      <c r="J677" s="652"/>
      <c r="K677" s="657">
        <f>+SUBTOTAL(9,K676)</f>
        <v>0</v>
      </c>
      <c r="L677" s="657">
        <f t="shared" ref="L677:M677" si="352">+SUBTOTAL(9,L676)</f>
        <v>0</v>
      </c>
      <c r="M677" s="657">
        <f t="shared" si="352"/>
        <v>0</v>
      </c>
    </row>
    <row r="678" spans="1:13" s="779" customFormat="1">
      <c r="A678" s="628">
        <v>10</v>
      </c>
      <c r="B678" s="301" t="s">
        <v>623</v>
      </c>
      <c r="C678" s="774"/>
      <c r="D678" s="649"/>
      <c r="E678" s="775"/>
      <c r="F678" s="776"/>
      <c r="G678" s="777"/>
      <c r="H678" s="777"/>
      <c r="I678" s="780"/>
      <c r="J678" s="781"/>
      <c r="K678" s="778"/>
      <c r="L678" s="778"/>
      <c r="M678" s="778"/>
    </row>
    <row r="679" spans="1:13">
      <c r="A679" s="637">
        <v>10.01</v>
      </c>
      <c r="B679" s="315" t="s">
        <v>624</v>
      </c>
      <c r="C679" s="638"/>
      <c r="D679" s="639"/>
      <c r="E679" s="655"/>
      <c r="F679" s="641"/>
      <c r="G679" s="632"/>
      <c r="H679" s="632"/>
      <c r="I679" s="642"/>
      <c r="J679" s="643"/>
      <c r="K679" s="636"/>
      <c r="L679" s="636"/>
      <c r="M679" s="636"/>
    </row>
    <row r="680" spans="1:13">
      <c r="A680" s="637" t="s">
        <v>687</v>
      </c>
      <c r="B680" s="315" t="s">
        <v>625</v>
      </c>
      <c r="C680" s="638">
        <v>4.32</v>
      </c>
      <c r="D680" s="639" t="s">
        <v>189</v>
      </c>
      <c r="E680" s="655">
        <v>2050.4444444444448</v>
      </c>
      <c r="F680" s="641">
        <f t="shared" si="343"/>
        <v>8857.9200000000019</v>
      </c>
      <c r="G680" s="632"/>
      <c r="H680" s="632"/>
      <c r="I680" s="642">
        <f t="shared" si="344"/>
        <v>0</v>
      </c>
      <c r="J680" s="643">
        <f t="shared" si="345"/>
        <v>0</v>
      </c>
      <c r="K680" s="636"/>
      <c r="L680" s="636">
        <f t="shared" si="346"/>
        <v>0</v>
      </c>
      <c r="M680" s="636">
        <f t="shared" si="347"/>
        <v>0</v>
      </c>
    </row>
    <row r="681" spans="1:13">
      <c r="A681" s="637" t="s">
        <v>670</v>
      </c>
      <c r="B681" s="315" t="s">
        <v>626</v>
      </c>
      <c r="C681" s="638">
        <v>4.8</v>
      </c>
      <c r="D681" s="639" t="s">
        <v>32</v>
      </c>
      <c r="E681" s="655">
        <v>3209.189999999996</v>
      </c>
      <c r="F681" s="641">
        <f t="shared" si="343"/>
        <v>15404.111999999979</v>
      </c>
      <c r="G681" s="632"/>
      <c r="H681" s="632"/>
      <c r="I681" s="642">
        <f t="shared" si="344"/>
        <v>0</v>
      </c>
      <c r="J681" s="643">
        <f t="shared" si="345"/>
        <v>0</v>
      </c>
      <c r="K681" s="636"/>
      <c r="L681" s="636">
        <f t="shared" si="346"/>
        <v>0</v>
      </c>
      <c r="M681" s="636">
        <f t="shared" si="347"/>
        <v>0</v>
      </c>
    </row>
    <row r="682" spans="1:13">
      <c r="A682" s="637" t="s">
        <v>671</v>
      </c>
      <c r="B682" s="315" t="s">
        <v>627</v>
      </c>
      <c r="C682" s="638">
        <v>6.4</v>
      </c>
      <c r="D682" s="639" t="s">
        <v>32</v>
      </c>
      <c r="E682" s="655">
        <v>8421.9799999999977</v>
      </c>
      <c r="F682" s="641">
        <f t="shared" si="343"/>
        <v>53900.671999999991</v>
      </c>
      <c r="G682" s="632"/>
      <c r="H682" s="632"/>
      <c r="I682" s="642">
        <f t="shared" si="344"/>
        <v>0</v>
      </c>
      <c r="J682" s="643">
        <f t="shared" si="345"/>
        <v>0</v>
      </c>
      <c r="K682" s="636"/>
      <c r="L682" s="636">
        <f t="shared" si="346"/>
        <v>0</v>
      </c>
      <c r="M682" s="636">
        <f t="shared" si="347"/>
        <v>0</v>
      </c>
    </row>
    <row r="683" spans="1:13">
      <c r="A683" s="637" t="s">
        <v>672</v>
      </c>
      <c r="B683" s="315" t="s">
        <v>673</v>
      </c>
      <c r="C683" s="638">
        <v>1.6</v>
      </c>
      <c r="D683" s="639" t="s">
        <v>32</v>
      </c>
      <c r="E683" s="655">
        <v>1117.7300000000002</v>
      </c>
      <c r="F683" s="641">
        <f t="shared" si="343"/>
        <v>1788.3680000000004</v>
      </c>
      <c r="G683" s="632"/>
      <c r="H683" s="632"/>
      <c r="I683" s="642">
        <f t="shared" si="344"/>
        <v>0</v>
      </c>
      <c r="J683" s="643">
        <f t="shared" si="345"/>
        <v>0</v>
      </c>
      <c r="K683" s="636"/>
      <c r="L683" s="636">
        <f t="shared" si="346"/>
        <v>0</v>
      </c>
      <c r="M683" s="636">
        <f t="shared" si="347"/>
        <v>0</v>
      </c>
    </row>
    <row r="684" spans="1:13">
      <c r="A684" s="637" t="s">
        <v>680</v>
      </c>
      <c r="B684" s="315" t="s">
        <v>629</v>
      </c>
      <c r="C684" s="638">
        <v>1.6</v>
      </c>
      <c r="D684" s="639" t="s">
        <v>32</v>
      </c>
      <c r="E684" s="655">
        <v>7155.7100000000009</v>
      </c>
      <c r="F684" s="641">
        <f t="shared" si="343"/>
        <v>11449.136000000002</v>
      </c>
      <c r="G684" s="632"/>
      <c r="H684" s="632"/>
      <c r="I684" s="642">
        <f t="shared" si="344"/>
        <v>0</v>
      </c>
      <c r="J684" s="643">
        <f t="shared" si="345"/>
        <v>0</v>
      </c>
      <c r="K684" s="636"/>
      <c r="L684" s="636">
        <f t="shared" si="346"/>
        <v>0</v>
      </c>
      <c r="M684" s="636">
        <f t="shared" si="347"/>
        <v>0</v>
      </c>
    </row>
    <row r="685" spans="1:13">
      <c r="A685" s="637" t="s">
        <v>681</v>
      </c>
      <c r="B685" s="315" t="s">
        <v>688</v>
      </c>
      <c r="C685" s="638">
        <v>0.8</v>
      </c>
      <c r="D685" s="639" t="s">
        <v>32</v>
      </c>
      <c r="E685" s="655">
        <v>716.60999999999945</v>
      </c>
      <c r="F685" s="641">
        <f t="shared" si="343"/>
        <v>573.28799999999956</v>
      </c>
      <c r="G685" s="632"/>
      <c r="H685" s="632"/>
      <c r="I685" s="642">
        <f t="shared" si="344"/>
        <v>0</v>
      </c>
      <c r="J685" s="643">
        <f t="shared" si="345"/>
        <v>0</v>
      </c>
      <c r="K685" s="636"/>
      <c r="L685" s="636">
        <f t="shared" si="346"/>
        <v>0</v>
      </c>
      <c r="M685" s="636">
        <f t="shared" si="347"/>
        <v>0</v>
      </c>
    </row>
    <row r="686" spans="1:13">
      <c r="A686" s="637" t="s">
        <v>681</v>
      </c>
      <c r="B686" s="315" t="s">
        <v>631</v>
      </c>
      <c r="C686" s="638">
        <v>0.8</v>
      </c>
      <c r="D686" s="639" t="s">
        <v>88</v>
      </c>
      <c r="E686" s="655">
        <v>112800</v>
      </c>
      <c r="F686" s="641">
        <f t="shared" si="343"/>
        <v>90240</v>
      </c>
      <c r="G686" s="632"/>
      <c r="H686" s="632"/>
      <c r="I686" s="642">
        <f t="shared" si="344"/>
        <v>0</v>
      </c>
      <c r="J686" s="643">
        <f t="shared" si="345"/>
        <v>0</v>
      </c>
      <c r="K686" s="636"/>
      <c r="L686" s="636">
        <f t="shared" si="346"/>
        <v>0</v>
      </c>
      <c r="M686" s="636">
        <f t="shared" si="347"/>
        <v>0</v>
      </c>
    </row>
    <row r="687" spans="1:13">
      <c r="A687" s="637">
        <v>10.02</v>
      </c>
      <c r="B687" s="315" t="s">
        <v>632</v>
      </c>
      <c r="C687" s="638"/>
      <c r="D687" s="639"/>
      <c r="E687" s="655"/>
      <c r="F687" s="641"/>
      <c r="G687" s="632"/>
      <c r="H687" s="632"/>
      <c r="I687" s="642"/>
      <c r="J687" s="643"/>
      <c r="K687" s="636"/>
      <c r="L687" s="636"/>
      <c r="M687" s="636"/>
    </row>
    <row r="688" spans="1:13">
      <c r="A688" s="637" t="s">
        <v>682</v>
      </c>
      <c r="B688" s="315" t="s">
        <v>633</v>
      </c>
      <c r="C688" s="638">
        <v>8</v>
      </c>
      <c r="D688" s="639" t="s">
        <v>353</v>
      </c>
      <c r="E688" s="655">
        <v>2195.0039999999999</v>
      </c>
      <c r="F688" s="641">
        <f t="shared" si="343"/>
        <v>17560.031999999999</v>
      </c>
      <c r="G688" s="632"/>
      <c r="H688" s="632"/>
      <c r="I688" s="642">
        <f t="shared" si="344"/>
        <v>0</v>
      </c>
      <c r="J688" s="643">
        <f t="shared" si="345"/>
        <v>0</v>
      </c>
      <c r="K688" s="636"/>
      <c r="L688" s="636">
        <f t="shared" si="346"/>
        <v>0</v>
      </c>
      <c r="M688" s="636">
        <f t="shared" si="347"/>
        <v>0</v>
      </c>
    </row>
    <row r="689" spans="1:13">
      <c r="A689" s="637" t="s">
        <v>683</v>
      </c>
      <c r="B689" s="315" t="s">
        <v>625</v>
      </c>
      <c r="C689" s="638">
        <v>0.96</v>
      </c>
      <c r="D689" s="639" t="s">
        <v>189</v>
      </c>
      <c r="E689" s="655">
        <v>2142.86</v>
      </c>
      <c r="F689" s="641">
        <f t="shared" si="343"/>
        <v>2057.1455999999998</v>
      </c>
      <c r="G689" s="632"/>
      <c r="H689" s="632"/>
      <c r="I689" s="642">
        <f t="shared" si="344"/>
        <v>0</v>
      </c>
      <c r="J689" s="643">
        <f t="shared" si="345"/>
        <v>0</v>
      </c>
      <c r="K689" s="636"/>
      <c r="L689" s="636">
        <f t="shared" si="346"/>
        <v>0</v>
      </c>
      <c r="M689" s="636">
        <f t="shared" si="347"/>
        <v>0</v>
      </c>
    </row>
    <row r="690" spans="1:13">
      <c r="A690" s="637" t="s">
        <v>684</v>
      </c>
      <c r="B690" s="315" t="s">
        <v>634</v>
      </c>
      <c r="C690" s="638">
        <v>0.8</v>
      </c>
      <c r="D690" s="639" t="s">
        <v>32</v>
      </c>
      <c r="E690" s="655">
        <v>4275.0400000000009</v>
      </c>
      <c r="F690" s="641">
        <f t="shared" si="343"/>
        <v>3420.0320000000011</v>
      </c>
      <c r="G690" s="632"/>
      <c r="H690" s="632"/>
      <c r="I690" s="642">
        <f t="shared" si="344"/>
        <v>0</v>
      </c>
      <c r="J690" s="643">
        <f t="shared" si="345"/>
        <v>0</v>
      </c>
      <c r="K690" s="636"/>
      <c r="L690" s="636">
        <f t="shared" si="346"/>
        <v>0</v>
      </c>
      <c r="M690" s="636">
        <f t="shared" si="347"/>
        <v>0</v>
      </c>
    </row>
    <row r="691" spans="1:13">
      <c r="A691" s="637" t="s">
        <v>685</v>
      </c>
      <c r="B691" s="315" t="s">
        <v>688</v>
      </c>
      <c r="C691" s="638">
        <v>0.8</v>
      </c>
      <c r="D691" s="639" t="s">
        <v>32</v>
      </c>
      <c r="E691" s="655">
        <v>716.60999999999945</v>
      </c>
      <c r="F691" s="641">
        <f t="shared" si="343"/>
        <v>573.28799999999956</v>
      </c>
      <c r="G691" s="632"/>
      <c r="H691" s="632"/>
      <c r="I691" s="642">
        <f t="shared" si="344"/>
        <v>0</v>
      </c>
      <c r="J691" s="643">
        <f t="shared" si="345"/>
        <v>0</v>
      </c>
      <c r="K691" s="636"/>
      <c r="L691" s="636">
        <f t="shared" si="346"/>
        <v>0</v>
      </c>
      <c r="M691" s="636">
        <f t="shared" si="347"/>
        <v>0</v>
      </c>
    </row>
    <row r="692" spans="1:13">
      <c r="A692" s="637"/>
      <c r="B692" s="315"/>
      <c r="C692" s="638"/>
      <c r="D692" s="639"/>
      <c r="E692" s="655"/>
      <c r="F692" s="772">
        <f>+SUBTOTAL(9,F680:F691)</f>
        <v>205823.99359999999</v>
      </c>
      <c r="G692" s="632"/>
      <c r="H692" s="632"/>
      <c r="I692" s="642"/>
      <c r="J692" s="652"/>
      <c r="K692" s="657">
        <f>+SUBTOTAL(9,K680:K691)</f>
        <v>0</v>
      </c>
      <c r="L692" s="657">
        <f t="shared" ref="L692:M692" si="353">+SUBTOTAL(9,L680:L691)</f>
        <v>0</v>
      </c>
      <c r="M692" s="657">
        <f t="shared" si="353"/>
        <v>0</v>
      </c>
    </row>
    <row r="693" spans="1:13" s="779" customFormat="1">
      <c r="A693" s="628">
        <v>11</v>
      </c>
      <c r="B693" s="301" t="s">
        <v>636</v>
      </c>
      <c r="C693" s="774"/>
      <c r="D693" s="649"/>
      <c r="E693" s="775"/>
      <c r="F693" s="776"/>
      <c r="G693" s="777"/>
      <c r="H693" s="777"/>
      <c r="I693" s="780"/>
      <c r="J693" s="781"/>
      <c r="K693" s="778"/>
      <c r="L693" s="778"/>
      <c r="M693" s="778"/>
    </row>
    <row r="694" spans="1:13">
      <c r="A694" s="637">
        <v>11.01</v>
      </c>
      <c r="B694" s="315" t="s">
        <v>637</v>
      </c>
      <c r="C694" s="638">
        <v>40</v>
      </c>
      <c r="D694" s="639" t="s">
        <v>32</v>
      </c>
      <c r="E694" s="655">
        <v>497.10600000000011</v>
      </c>
      <c r="F694" s="641">
        <f t="shared" si="343"/>
        <v>19884.240000000005</v>
      </c>
      <c r="G694" s="632"/>
      <c r="H694" s="632"/>
      <c r="I694" s="642">
        <f t="shared" si="344"/>
        <v>0</v>
      </c>
      <c r="J694" s="643">
        <f t="shared" si="345"/>
        <v>0</v>
      </c>
      <c r="K694" s="636"/>
      <c r="L694" s="636">
        <f t="shared" si="346"/>
        <v>0</v>
      </c>
      <c r="M694" s="636">
        <f t="shared" si="347"/>
        <v>0</v>
      </c>
    </row>
    <row r="695" spans="1:13">
      <c r="A695" s="637">
        <v>11.02</v>
      </c>
      <c r="B695" s="315" t="s">
        <v>638</v>
      </c>
      <c r="C695" s="638">
        <v>9.6</v>
      </c>
      <c r="D695" s="639" t="s">
        <v>32</v>
      </c>
      <c r="E695" s="655">
        <v>543.5999999999998</v>
      </c>
      <c r="F695" s="641">
        <f t="shared" si="343"/>
        <v>5218.5599999999977</v>
      </c>
      <c r="G695" s="632"/>
      <c r="H695" s="632"/>
      <c r="I695" s="642">
        <f t="shared" si="344"/>
        <v>0</v>
      </c>
      <c r="J695" s="643">
        <f t="shared" si="345"/>
        <v>0</v>
      </c>
      <c r="K695" s="636"/>
      <c r="L695" s="636">
        <f t="shared" si="346"/>
        <v>0</v>
      </c>
      <c r="M695" s="636">
        <f t="shared" si="347"/>
        <v>0</v>
      </c>
    </row>
    <row r="696" spans="1:13">
      <c r="A696" s="637">
        <v>11.03</v>
      </c>
      <c r="B696" s="315" t="s">
        <v>639</v>
      </c>
      <c r="C696" s="638">
        <v>1.6</v>
      </c>
      <c r="D696" s="639" t="s">
        <v>32</v>
      </c>
      <c r="E696" s="655">
        <v>720.18</v>
      </c>
      <c r="F696" s="641">
        <f t="shared" si="343"/>
        <v>1152.288</v>
      </c>
      <c r="G696" s="632"/>
      <c r="H696" s="632"/>
      <c r="I696" s="642">
        <f t="shared" si="344"/>
        <v>0</v>
      </c>
      <c r="J696" s="643">
        <f t="shared" si="345"/>
        <v>0</v>
      </c>
      <c r="K696" s="636"/>
      <c r="L696" s="636">
        <f t="shared" si="346"/>
        <v>0</v>
      </c>
      <c r="M696" s="636">
        <f t="shared" si="347"/>
        <v>0</v>
      </c>
    </row>
    <row r="697" spans="1:13">
      <c r="A697" s="637">
        <v>11.04</v>
      </c>
      <c r="B697" s="315" t="s">
        <v>640</v>
      </c>
      <c r="C697" s="638">
        <v>0.8</v>
      </c>
      <c r="D697" s="639" t="s">
        <v>32</v>
      </c>
      <c r="E697" s="655">
        <v>870.11599999999953</v>
      </c>
      <c r="F697" s="641">
        <f t="shared" si="343"/>
        <v>696.09279999999967</v>
      </c>
      <c r="G697" s="632"/>
      <c r="H697" s="632"/>
      <c r="I697" s="642">
        <f t="shared" si="344"/>
        <v>0</v>
      </c>
      <c r="J697" s="643">
        <f t="shared" si="345"/>
        <v>0</v>
      </c>
      <c r="K697" s="636"/>
      <c r="L697" s="636">
        <f t="shared" si="346"/>
        <v>0</v>
      </c>
      <c r="M697" s="636">
        <f t="shared" si="347"/>
        <v>0</v>
      </c>
    </row>
    <row r="698" spans="1:13">
      <c r="A698" s="637">
        <v>11.049999999999999</v>
      </c>
      <c r="B698" s="315" t="s">
        <v>641</v>
      </c>
      <c r="C698" s="638">
        <v>1.6</v>
      </c>
      <c r="D698" s="639" t="s">
        <v>32</v>
      </c>
      <c r="E698" s="655">
        <v>660.37400000000014</v>
      </c>
      <c r="F698" s="641">
        <f t="shared" si="343"/>
        <v>1056.5984000000003</v>
      </c>
      <c r="G698" s="632"/>
      <c r="H698" s="632"/>
      <c r="I698" s="642">
        <f t="shared" si="344"/>
        <v>0</v>
      </c>
      <c r="J698" s="643">
        <f t="shared" si="345"/>
        <v>0</v>
      </c>
      <c r="K698" s="636"/>
      <c r="L698" s="636">
        <f t="shared" si="346"/>
        <v>0</v>
      </c>
      <c r="M698" s="636">
        <f t="shared" si="347"/>
        <v>0</v>
      </c>
    </row>
    <row r="699" spans="1:13">
      <c r="A699" s="637">
        <v>11.059999999999999</v>
      </c>
      <c r="B699" s="315" t="s">
        <v>642</v>
      </c>
      <c r="C699" s="638">
        <v>36.799999999999997</v>
      </c>
      <c r="D699" s="639" t="s">
        <v>32</v>
      </c>
      <c r="E699" s="655">
        <v>688.73999999999955</v>
      </c>
      <c r="F699" s="641">
        <f t="shared" si="343"/>
        <v>25345.631999999983</v>
      </c>
      <c r="G699" s="632"/>
      <c r="H699" s="632"/>
      <c r="I699" s="642">
        <f t="shared" si="344"/>
        <v>0</v>
      </c>
      <c r="J699" s="643">
        <f t="shared" si="345"/>
        <v>0</v>
      </c>
      <c r="K699" s="636"/>
      <c r="L699" s="636">
        <f t="shared" si="346"/>
        <v>0</v>
      </c>
      <c r="M699" s="636">
        <f t="shared" si="347"/>
        <v>0</v>
      </c>
    </row>
    <row r="700" spans="1:13">
      <c r="A700" s="637">
        <v>11.069999999999999</v>
      </c>
      <c r="B700" s="315" t="s">
        <v>643</v>
      </c>
      <c r="C700" s="638">
        <v>11.2</v>
      </c>
      <c r="D700" s="639" t="s">
        <v>32</v>
      </c>
      <c r="E700" s="655">
        <v>1311.5259999999996</v>
      </c>
      <c r="F700" s="641">
        <f t="shared" si="343"/>
        <v>14689.091199999995</v>
      </c>
      <c r="G700" s="632"/>
      <c r="H700" s="632"/>
      <c r="I700" s="642">
        <f t="shared" si="344"/>
        <v>0</v>
      </c>
      <c r="J700" s="643">
        <f t="shared" si="345"/>
        <v>0</v>
      </c>
      <c r="K700" s="636"/>
      <c r="L700" s="636">
        <f t="shared" si="346"/>
        <v>0</v>
      </c>
      <c r="M700" s="636">
        <f t="shared" si="347"/>
        <v>0</v>
      </c>
    </row>
    <row r="701" spans="1:13">
      <c r="A701" s="637">
        <v>11.079999999999998</v>
      </c>
      <c r="B701" s="315" t="s">
        <v>644</v>
      </c>
      <c r="C701" s="638">
        <v>28.8</v>
      </c>
      <c r="D701" s="639" t="s">
        <v>32</v>
      </c>
      <c r="E701" s="655">
        <v>339.20399999999995</v>
      </c>
      <c r="F701" s="641">
        <f t="shared" si="343"/>
        <v>9769.0751999999993</v>
      </c>
      <c r="G701" s="632"/>
      <c r="H701" s="632"/>
      <c r="I701" s="642">
        <f t="shared" si="344"/>
        <v>0</v>
      </c>
      <c r="J701" s="643">
        <f t="shared" si="345"/>
        <v>0</v>
      </c>
      <c r="K701" s="636"/>
      <c r="L701" s="636">
        <f t="shared" si="346"/>
        <v>0</v>
      </c>
      <c r="M701" s="636">
        <f t="shared" si="347"/>
        <v>0</v>
      </c>
    </row>
    <row r="702" spans="1:13">
      <c r="A702" s="637">
        <v>11.089999999999998</v>
      </c>
      <c r="B702" s="315" t="s">
        <v>645</v>
      </c>
      <c r="C702" s="638">
        <v>0.8</v>
      </c>
      <c r="D702" s="639" t="s">
        <v>32</v>
      </c>
      <c r="E702" s="655">
        <v>8650.1760000000013</v>
      </c>
      <c r="F702" s="641">
        <f t="shared" si="343"/>
        <v>6920.140800000001</v>
      </c>
      <c r="G702" s="632"/>
      <c r="H702" s="632"/>
      <c r="I702" s="642">
        <f t="shared" si="344"/>
        <v>0</v>
      </c>
      <c r="J702" s="643">
        <f t="shared" si="345"/>
        <v>0</v>
      </c>
      <c r="K702" s="636"/>
      <c r="L702" s="636">
        <f t="shared" si="346"/>
        <v>0</v>
      </c>
      <c r="M702" s="636">
        <f t="shared" si="347"/>
        <v>0</v>
      </c>
    </row>
    <row r="703" spans="1:13">
      <c r="A703" s="637"/>
      <c r="B703" s="315"/>
      <c r="C703" s="638"/>
      <c r="D703" s="639"/>
      <c r="E703" s="655"/>
      <c r="F703" s="772">
        <f>+SUBTOTAL(9,F694:F702)</f>
        <v>84731.718399999983</v>
      </c>
      <c r="G703" s="632"/>
      <c r="H703" s="632"/>
      <c r="I703" s="642"/>
      <c r="J703" s="652"/>
      <c r="K703" s="657">
        <f>+SUBTOTAL(9,K694:K702)</f>
        <v>0</v>
      </c>
      <c r="L703" s="657">
        <f t="shared" ref="L703:M703" si="354">+SUBTOTAL(9,L694:L702)</f>
        <v>0</v>
      </c>
      <c r="M703" s="657">
        <f t="shared" si="354"/>
        <v>0</v>
      </c>
    </row>
    <row r="704" spans="1:13" s="779" customFormat="1">
      <c r="A704" s="628" t="s">
        <v>203</v>
      </c>
      <c r="B704" s="301" t="s">
        <v>648</v>
      </c>
      <c r="C704" s="774"/>
      <c r="D704" s="649"/>
      <c r="E704" s="775"/>
      <c r="F704" s="776"/>
      <c r="G704" s="777"/>
      <c r="H704" s="777"/>
      <c r="I704" s="780"/>
      <c r="J704" s="781"/>
      <c r="K704" s="778"/>
      <c r="L704" s="778"/>
      <c r="M704" s="778"/>
    </row>
    <row r="705" spans="1:13">
      <c r="A705" s="637"/>
      <c r="B705" s="315"/>
      <c r="C705" s="638"/>
      <c r="D705" s="639"/>
      <c r="E705" s="655"/>
      <c r="F705" s="641"/>
      <c r="G705" s="632"/>
      <c r="H705" s="632"/>
      <c r="I705" s="642"/>
      <c r="J705" s="643"/>
      <c r="K705" s="636"/>
      <c r="L705" s="636"/>
      <c r="M705" s="636"/>
    </row>
    <row r="706" spans="1:13" s="779" customFormat="1">
      <c r="A706" s="628">
        <v>2</v>
      </c>
      <c r="B706" s="301" t="s">
        <v>595</v>
      </c>
      <c r="C706" s="774"/>
      <c r="D706" s="649"/>
      <c r="E706" s="775"/>
      <c r="F706" s="776"/>
      <c r="G706" s="777"/>
      <c r="H706" s="777"/>
      <c r="I706" s="780"/>
      <c r="J706" s="781"/>
      <c r="K706" s="778"/>
      <c r="L706" s="778"/>
      <c r="M706" s="778"/>
    </row>
    <row r="707" spans="1:13">
      <c r="A707" s="637">
        <v>2.0099999999999998</v>
      </c>
      <c r="B707" s="315" t="s">
        <v>596</v>
      </c>
      <c r="C707" s="638">
        <v>61.395000000000003</v>
      </c>
      <c r="D707" s="639" t="s">
        <v>189</v>
      </c>
      <c r="E707" s="655">
        <v>478.27162716833573</v>
      </c>
      <c r="F707" s="641">
        <f t="shared" si="343"/>
        <v>29363.486549999972</v>
      </c>
      <c r="G707" s="632"/>
      <c r="H707" s="632"/>
      <c r="I707" s="642">
        <f t="shared" si="344"/>
        <v>0</v>
      </c>
      <c r="J707" s="643">
        <f t="shared" si="345"/>
        <v>0</v>
      </c>
      <c r="K707" s="636"/>
      <c r="L707" s="636">
        <f t="shared" si="346"/>
        <v>0</v>
      </c>
      <c r="M707" s="636">
        <f t="shared" si="347"/>
        <v>0</v>
      </c>
    </row>
    <row r="708" spans="1:13">
      <c r="A708" s="637"/>
      <c r="B708" s="315"/>
      <c r="C708" s="638"/>
      <c r="D708" s="639"/>
      <c r="E708" s="655"/>
      <c r="F708" s="772">
        <f>+SUBTOTAL(9,F707)</f>
        <v>29363.486549999972</v>
      </c>
      <c r="G708" s="632"/>
      <c r="H708" s="632"/>
      <c r="I708" s="642"/>
      <c r="J708" s="652"/>
      <c r="K708" s="657">
        <f>+SUBTOTAL(9,K707)</f>
        <v>0</v>
      </c>
      <c r="L708" s="657">
        <f t="shared" ref="L708:M708" si="355">+SUBTOTAL(9,L707)</f>
        <v>0</v>
      </c>
      <c r="M708" s="657">
        <f t="shared" si="355"/>
        <v>0</v>
      </c>
    </row>
    <row r="709" spans="1:13" s="779" customFormat="1">
      <c r="A709" s="628">
        <v>3</v>
      </c>
      <c r="B709" s="301" t="s">
        <v>597</v>
      </c>
      <c r="C709" s="774"/>
      <c r="D709" s="649"/>
      <c r="E709" s="775"/>
      <c r="F709" s="776"/>
      <c r="G709" s="777"/>
      <c r="H709" s="777"/>
      <c r="I709" s="780"/>
      <c r="J709" s="781"/>
      <c r="K709" s="778"/>
      <c r="L709" s="778"/>
      <c r="M709" s="778"/>
    </row>
    <row r="710" spans="1:13">
      <c r="A710" s="637">
        <v>3.01</v>
      </c>
      <c r="B710" s="315" t="s">
        <v>598</v>
      </c>
      <c r="C710" s="638">
        <v>551.04999999999995</v>
      </c>
      <c r="D710" s="639" t="s">
        <v>189</v>
      </c>
      <c r="E710" s="655">
        <v>44.70000000000001</v>
      </c>
      <c r="F710" s="641">
        <f t="shared" si="343"/>
        <v>24631.935000000005</v>
      </c>
      <c r="G710" s="632"/>
      <c r="H710" s="632"/>
      <c r="I710" s="642">
        <f t="shared" si="344"/>
        <v>0</v>
      </c>
      <c r="J710" s="643">
        <f t="shared" si="345"/>
        <v>0</v>
      </c>
      <c r="K710" s="636"/>
      <c r="L710" s="636">
        <f t="shared" si="346"/>
        <v>0</v>
      </c>
      <c r="M710" s="636">
        <f t="shared" si="347"/>
        <v>0</v>
      </c>
    </row>
    <row r="711" spans="1:13" ht="26.25">
      <c r="A711" s="637">
        <v>3.0199999999999996</v>
      </c>
      <c r="B711" s="315" t="s">
        <v>599</v>
      </c>
      <c r="C711" s="638">
        <v>122.79</v>
      </c>
      <c r="D711" s="639" t="s">
        <v>189</v>
      </c>
      <c r="E711" s="655">
        <v>297.65000000000003</v>
      </c>
      <c r="F711" s="641">
        <f t="shared" si="343"/>
        <v>36548.443500000008</v>
      </c>
      <c r="G711" s="632"/>
      <c r="H711" s="632"/>
      <c r="I711" s="642">
        <f t="shared" si="344"/>
        <v>0</v>
      </c>
      <c r="J711" s="643">
        <f t="shared" si="345"/>
        <v>0</v>
      </c>
      <c r="K711" s="636"/>
      <c r="L711" s="636">
        <f t="shared" si="346"/>
        <v>0</v>
      </c>
      <c r="M711" s="636">
        <f t="shared" si="347"/>
        <v>0</v>
      </c>
    </row>
    <row r="712" spans="1:13">
      <c r="A712" s="637">
        <v>3.0299999999999994</v>
      </c>
      <c r="B712" s="315" t="s">
        <v>600</v>
      </c>
      <c r="C712" s="638">
        <v>13.5</v>
      </c>
      <c r="D712" s="639" t="s">
        <v>30</v>
      </c>
      <c r="E712" s="655">
        <v>156.08999999999995</v>
      </c>
      <c r="F712" s="641">
        <f t="shared" si="343"/>
        <v>2107.2149999999992</v>
      </c>
      <c r="G712" s="632"/>
      <c r="H712" s="632"/>
      <c r="I712" s="642">
        <f t="shared" si="344"/>
        <v>0</v>
      </c>
      <c r="J712" s="643">
        <f t="shared" si="345"/>
        <v>0</v>
      </c>
      <c r="K712" s="636"/>
      <c r="L712" s="636">
        <f t="shared" si="346"/>
        <v>0</v>
      </c>
      <c r="M712" s="636">
        <f t="shared" si="347"/>
        <v>0</v>
      </c>
    </row>
    <row r="713" spans="1:13">
      <c r="A713" s="637"/>
      <c r="B713" s="315"/>
      <c r="C713" s="638"/>
      <c r="D713" s="639"/>
      <c r="E713" s="655"/>
      <c r="F713" s="772">
        <f>+SUBTOTAL(9,F709:F712)</f>
        <v>63287.59350000001</v>
      </c>
      <c r="G713" s="632"/>
      <c r="H713" s="632"/>
      <c r="I713" s="642"/>
      <c r="J713" s="652"/>
      <c r="K713" s="657">
        <f>+SUBTOTAL(9,K709:K712)</f>
        <v>0</v>
      </c>
      <c r="L713" s="657">
        <f t="shared" ref="L713:M713" si="356">+SUBTOTAL(9,L709:L712)</f>
        <v>0</v>
      </c>
      <c r="M713" s="657">
        <f t="shared" si="356"/>
        <v>0</v>
      </c>
    </row>
    <row r="714" spans="1:13" s="779" customFormat="1">
      <c r="A714" s="628">
        <v>4</v>
      </c>
      <c r="B714" s="301" t="s">
        <v>675</v>
      </c>
      <c r="C714" s="774"/>
      <c r="D714" s="649"/>
      <c r="E714" s="775"/>
      <c r="F714" s="776"/>
      <c r="G714" s="777"/>
      <c r="H714" s="777"/>
      <c r="I714" s="780"/>
      <c r="J714" s="781"/>
      <c r="K714" s="778"/>
      <c r="L714" s="778"/>
      <c r="M714" s="778"/>
    </row>
    <row r="715" spans="1:13">
      <c r="A715" s="637">
        <v>4.01</v>
      </c>
      <c r="B715" s="315" t="s">
        <v>676</v>
      </c>
      <c r="C715" s="638">
        <v>16</v>
      </c>
      <c r="D715" s="639" t="s">
        <v>189</v>
      </c>
      <c r="E715" s="655">
        <v>4567.0950000000003</v>
      </c>
      <c r="F715" s="641">
        <f t="shared" si="343"/>
        <v>73073.52</v>
      </c>
      <c r="G715" s="632"/>
      <c r="H715" s="632"/>
      <c r="I715" s="642">
        <f t="shared" si="344"/>
        <v>0</v>
      </c>
      <c r="J715" s="643">
        <f t="shared" si="345"/>
        <v>0</v>
      </c>
      <c r="K715" s="636"/>
      <c r="L715" s="636">
        <f t="shared" si="346"/>
        <v>0</v>
      </c>
      <c r="M715" s="636">
        <f t="shared" si="347"/>
        <v>0</v>
      </c>
    </row>
    <row r="716" spans="1:13">
      <c r="A716" s="637">
        <v>4.0199999999999996</v>
      </c>
      <c r="B716" s="315" t="s">
        <v>603</v>
      </c>
      <c r="C716" s="638">
        <v>1.3</v>
      </c>
      <c r="D716" s="639" t="s">
        <v>189</v>
      </c>
      <c r="E716" s="655">
        <v>4617.0950000000003</v>
      </c>
      <c r="F716" s="641">
        <f t="shared" si="343"/>
        <v>6002.223500000001</v>
      </c>
      <c r="G716" s="632"/>
      <c r="H716" s="632"/>
      <c r="I716" s="642">
        <f t="shared" si="344"/>
        <v>0</v>
      </c>
      <c r="J716" s="643">
        <f t="shared" si="345"/>
        <v>0</v>
      </c>
      <c r="K716" s="636"/>
      <c r="L716" s="636">
        <f t="shared" si="346"/>
        <v>0</v>
      </c>
      <c r="M716" s="636">
        <f t="shared" si="347"/>
        <v>0</v>
      </c>
    </row>
    <row r="717" spans="1:13">
      <c r="A717" s="637">
        <v>4.0299999999999994</v>
      </c>
      <c r="B717" s="315" t="s">
        <v>604</v>
      </c>
      <c r="C717" s="638">
        <v>1620.0255999999999</v>
      </c>
      <c r="D717" s="639" t="s">
        <v>605</v>
      </c>
      <c r="E717" s="655">
        <v>648.99999999999989</v>
      </c>
      <c r="F717" s="641">
        <f t="shared" si="343"/>
        <v>1051396.6143999998</v>
      </c>
      <c r="G717" s="632"/>
      <c r="H717" s="632"/>
      <c r="I717" s="642">
        <f t="shared" si="344"/>
        <v>0</v>
      </c>
      <c r="J717" s="643">
        <f t="shared" si="345"/>
        <v>0</v>
      </c>
      <c r="K717" s="636"/>
      <c r="L717" s="636">
        <f t="shared" si="346"/>
        <v>0</v>
      </c>
      <c r="M717" s="636">
        <f t="shared" si="347"/>
        <v>0</v>
      </c>
    </row>
    <row r="718" spans="1:13">
      <c r="A718" s="637">
        <v>4.0399999999999991</v>
      </c>
      <c r="B718" s="315" t="s">
        <v>606</v>
      </c>
      <c r="C718" s="638">
        <v>83.594999999999999</v>
      </c>
      <c r="D718" s="639" t="s">
        <v>189</v>
      </c>
      <c r="E718" s="655">
        <v>6983.24</v>
      </c>
      <c r="F718" s="641">
        <f t="shared" si="343"/>
        <v>583763.94779999997</v>
      </c>
      <c r="G718" s="632"/>
      <c r="H718" s="632"/>
      <c r="I718" s="642">
        <f t="shared" si="344"/>
        <v>0</v>
      </c>
      <c r="J718" s="643">
        <f t="shared" si="345"/>
        <v>0</v>
      </c>
      <c r="K718" s="636"/>
      <c r="L718" s="636">
        <f t="shared" si="346"/>
        <v>0</v>
      </c>
      <c r="M718" s="636">
        <f t="shared" si="347"/>
        <v>0</v>
      </c>
    </row>
    <row r="719" spans="1:13">
      <c r="A719" s="637">
        <v>4.0499999999999989</v>
      </c>
      <c r="B719" s="315" t="s">
        <v>607</v>
      </c>
      <c r="C719" s="638">
        <v>9</v>
      </c>
      <c r="D719" s="639" t="s">
        <v>189</v>
      </c>
      <c r="E719" s="655">
        <v>798.38811383928521</v>
      </c>
      <c r="F719" s="641">
        <f t="shared" si="343"/>
        <v>7185.493024553567</v>
      </c>
      <c r="G719" s="632"/>
      <c r="H719" s="632"/>
      <c r="I719" s="642">
        <f t="shared" si="344"/>
        <v>0</v>
      </c>
      <c r="J719" s="643">
        <f t="shared" si="345"/>
        <v>0</v>
      </c>
      <c r="K719" s="636"/>
      <c r="L719" s="636">
        <f t="shared" si="346"/>
        <v>0</v>
      </c>
      <c r="M719" s="636">
        <f t="shared" si="347"/>
        <v>0</v>
      </c>
    </row>
    <row r="720" spans="1:13">
      <c r="A720" s="637">
        <v>4.0599999999999987</v>
      </c>
      <c r="B720" s="315" t="s">
        <v>608</v>
      </c>
      <c r="C720" s="638">
        <v>17.5</v>
      </c>
      <c r="D720" s="639" t="s">
        <v>189</v>
      </c>
      <c r="E720" s="655">
        <v>145.2730241672111</v>
      </c>
      <c r="F720" s="641">
        <f t="shared" si="343"/>
        <v>2542.2779229261942</v>
      </c>
      <c r="G720" s="632"/>
      <c r="H720" s="632"/>
      <c r="I720" s="642">
        <f t="shared" si="344"/>
        <v>0</v>
      </c>
      <c r="J720" s="643">
        <f t="shared" si="345"/>
        <v>0</v>
      </c>
      <c r="K720" s="636"/>
      <c r="L720" s="636">
        <f t="shared" si="346"/>
        <v>0</v>
      </c>
      <c r="M720" s="636">
        <f t="shared" si="347"/>
        <v>0</v>
      </c>
    </row>
    <row r="721" spans="1:13">
      <c r="A721" s="637"/>
      <c r="B721" s="315"/>
      <c r="C721" s="638"/>
      <c r="D721" s="639"/>
      <c r="E721" s="655"/>
      <c r="F721" s="772">
        <f>+SUBTOTAL(9,F715:F720)</f>
        <v>1723964.0766474798</v>
      </c>
      <c r="G721" s="632"/>
      <c r="H721" s="632"/>
      <c r="I721" s="642"/>
      <c r="J721" s="652"/>
      <c r="K721" s="657">
        <f>+SUBTOTAL(9,K715:K720)</f>
        <v>0</v>
      </c>
      <c r="L721" s="657">
        <f t="shared" ref="L721:M721" si="357">+SUBTOTAL(9,L715:L720)</f>
        <v>0</v>
      </c>
      <c r="M721" s="657">
        <f t="shared" si="357"/>
        <v>0</v>
      </c>
    </row>
    <row r="722" spans="1:13" s="779" customFormat="1">
      <c r="A722" s="628">
        <v>5</v>
      </c>
      <c r="B722" s="301" t="s">
        <v>609</v>
      </c>
      <c r="C722" s="774"/>
      <c r="D722" s="649"/>
      <c r="E722" s="775"/>
      <c r="F722" s="776"/>
      <c r="G722" s="777"/>
      <c r="H722" s="777"/>
      <c r="I722" s="780"/>
      <c r="J722" s="781"/>
      <c r="K722" s="778"/>
      <c r="L722" s="778"/>
      <c r="M722" s="778"/>
    </row>
    <row r="723" spans="1:13">
      <c r="A723" s="637">
        <v>5.01</v>
      </c>
      <c r="B723" s="315" t="s">
        <v>610</v>
      </c>
      <c r="C723" s="638">
        <v>252</v>
      </c>
      <c r="D723" s="639" t="s">
        <v>189</v>
      </c>
      <c r="E723" s="655">
        <v>4565.3350000000009</v>
      </c>
      <c r="F723" s="641">
        <f t="shared" ref="F723:F786" si="358">+E723*C723</f>
        <v>1150464.4200000002</v>
      </c>
      <c r="G723" s="632"/>
      <c r="H723" s="632"/>
      <c r="I723" s="642">
        <f t="shared" ref="I723:I786" si="359">+H723+G723</f>
        <v>0</v>
      </c>
      <c r="J723" s="643">
        <f t="shared" ref="J723:J786" si="360">I723/C723</f>
        <v>0</v>
      </c>
      <c r="K723" s="636"/>
      <c r="L723" s="636">
        <f t="shared" ref="L723:L786" si="361">+H723*E723</f>
        <v>0</v>
      </c>
      <c r="M723" s="636">
        <f t="shared" ref="M723:M786" si="362">K723+L723</f>
        <v>0</v>
      </c>
    </row>
    <row r="724" spans="1:13">
      <c r="A724" s="637">
        <v>5.0199999999999996</v>
      </c>
      <c r="B724" s="315" t="s">
        <v>611</v>
      </c>
      <c r="C724" s="638">
        <v>117.5</v>
      </c>
      <c r="D724" s="639" t="s">
        <v>30</v>
      </c>
      <c r="E724" s="655">
        <v>554.64479999999992</v>
      </c>
      <c r="F724" s="641">
        <f t="shared" si="358"/>
        <v>65170.763999999988</v>
      </c>
      <c r="G724" s="632"/>
      <c r="H724" s="632"/>
      <c r="I724" s="642">
        <f t="shared" si="359"/>
        <v>0</v>
      </c>
      <c r="J724" s="643">
        <f t="shared" si="360"/>
        <v>0</v>
      </c>
      <c r="K724" s="636"/>
      <c r="L724" s="636">
        <f t="shared" si="361"/>
        <v>0</v>
      </c>
      <c r="M724" s="636">
        <f t="shared" si="362"/>
        <v>0</v>
      </c>
    </row>
    <row r="725" spans="1:13">
      <c r="A725" s="637">
        <v>5.0299999999999994</v>
      </c>
      <c r="B725" s="315" t="s">
        <v>677</v>
      </c>
      <c r="C725" s="638">
        <v>17.5</v>
      </c>
      <c r="D725" s="639" t="s">
        <v>189</v>
      </c>
      <c r="E725" s="655">
        <v>4417.415</v>
      </c>
      <c r="F725" s="641">
        <f t="shared" si="358"/>
        <v>77304.762499999997</v>
      </c>
      <c r="G725" s="632"/>
      <c r="H725" s="632"/>
      <c r="I725" s="642">
        <f t="shared" si="359"/>
        <v>0</v>
      </c>
      <c r="J725" s="643">
        <f t="shared" si="360"/>
        <v>0</v>
      </c>
      <c r="K725" s="636"/>
      <c r="L725" s="636">
        <f t="shared" si="361"/>
        <v>0</v>
      </c>
      <c r="M725" s="636">
        <f t="shared" si="362"/>
        <v>0</v>
      </c>
    </row>
    <row r="726" spans="1:13">
      <c r="A726" s="637"/>
      <c r="B726" s="315"/>
      <c r="C726" s="638"/>
      <c r="D726" s="639"/>
      <c r="E726" s="655"/>
      <c r="F726" s="772">
        <f>+SUBTOTAL(9,F723:F725)</f>
        <v>1292939.9465000001</v>
      </c>
      <c r="G726" s="632"/>
      <c r="H726" s="632"/>
      <c r="I726" s="642"/>
      <c r="J726" s="652"/>
      <c r="K726" s="657">
        <f>+SUBTOTAL(9,K723:K725)</f>
        <v>0</v>
      </c>
      <c r="L726" s="657">
        <f t="shared" ref="L726:M726" si="363">+SUBTOTAL(9,L723:L725)</f>
        <v>0</v>
      </c>
      <c r="M726" s="657">
        <f t="shared" si="363"/>
        <v>0</v>
      </c>
    </row>
    <row r="727" spans="1:13" s="779" customFormat="1">
      <c r="A727" s="628">
        <v>6</v>
      </c>
      <c r="B727" s="301" t="s">
        <v>613</v>
      </c>
      <c r="C727" s="774"/>
      <c r="D727" s="649"/>
      <c r="E727" s="775"/>
      <c r="F727" s="776"/>
      <c r="G727" s="777"/>
      <c r="H727" s="777"/>
      <c r="I727" s="780"/>
      <c r="J727" s="781"/>
      <c r="K727" s="778"/>
      <c r="L727" s="778"/>
      <c r="M727" s="778"/>
    </row>
    <row r="728" spans="1:13" ht="26.25">
      <c r="A728" s="637">
        <v>6.01</v>
      </c>
      <c r="B728" s="315" t="s">
        <v>614</v>
      </c>
      <c r="C728" s="638">
        <v>1</v>
      </c>
      <c r="D728" s="639" t="s">
        <v>32</v>
      </c>
      <c r="E728" s="655">
        <v>49140.664499999977</v>
      </c>
      <c r="F728" s="641">
        <f t="shared" si="358"/>
        <v>49140.664499999977</v>
      </c>
      <c r="G728" s="632"/>
      <c r="H728" s="632"/>
      <c r="I728" s="642">
        <f t="shared" si="359"/>
        <v>0</v>
      </c>
      <c r="J728" s="643">
        <f t="shared" si="360"/>
        <v>0</v>
      </c>
      <c r="K728" s="636"/>
      <c r="L728" s="636">
        <f t="shared" si="361"/>
        <v>0</v>
      </c>
      <c r="M728" s="636">
        <f t="shared" si="362"/>
        <v>0</v>
      </c>
    </row>
    <row r="729" spans="1:13">
      <c r="A729" s="637">
        <v>6.02</v>
      </c>
      <c r="B729" s="315" t="s">
        <v>678</v>
      </c>
      <c r="C729" s="638">
        <v>3</v>
      </c>
      <c r="D729" s="639" t="s">
        <v>32</v>
      </c>
      <c r="E729" s="655">
        <v>11151.356099999999</v>
      </c>
      <c r="F729" s="641">
        <f t="shared" si="358"/>
        <v>33454.068299999999</v>
      </c>
      <c r="G729" s="632"/>
      <c r="H729" s="632"/>
      <c r="I729" s="642">
        <f t="shared" si="359"/>
        <v>0</v>
      </c>
      <c r="J729" s="643">
        <f t="shared" si="360"/>
        <v>0</v>
      </c>
      <c r="K729" s="636"/>
      <c r="L729" s="636">
        <f t="shared" si="361"/>
        <v>0</v>
      </c>
      <c r="M729" s="636">
        <f t="shared" si="362"/>
        <v>0</v>
      </c>
    </row>
    <row r="730" spans="1:13">
      <c r="A730" s="637">
        <v>6.0299999999999994</v>
      </c>
      <c r="B730" s="315" t="s">
        <v>679</v>
      </c>
      <c r="C730" s="638">
        <v>1</v>
      </c>
      <c r="D730" s="639" t="s">
        <v>32</v>
      </c>
      <c r="E730" s="655">
        <v>21224.215700000001</v>
      </c>
      <c r="F730" s="641">
        <f t="shared" si="358"/>
        <v>21224.215700000001</v>
      </c>
      <c r="G730" s="632"/>
      <c r="H730" s="632"/>
      <c r="I730" s="642">
        <f t="shared" si="359"/>
        <v>0</v>
      </c>
      <c r="J730" s="643">
        <f t="shared" si="360"/>
        <v>0</v>
      </c>
      <c r="K730" s="636"/>
      <c r="L730" s="636">
        <f t="shared" si="361"/>
        <v>0</v>
      </c>
      <c r="M730" s="636">
        <f t="shared" si="362"/>
        <v>0</v>
      </c>
    </row>
    <row r="731" spans="1:13">
      <c r="A731" s="637"/>
      <c r="B731" s="315"/>
      <c r="C731" s="638"/>
      <c r="D731" s="639"/>
      <c r="E731" s="655"/>
      <c r="F731" s="772">
        <f>+SUBTOTAL(9,F728:F730)</f>
        <v>103818.94849999997</v>
      </c>
      <c r="G731" s="632"/>
      <c r="H731" s="632"/>
      <c r="I731" s="642"/>
      <c r="J731" s="652"/>
      <c r="K731" s="657">
        <f>+SUBTOTAL(9,K728:K730)</f>
        <v>0</v>
      </c>
      <c r="L731" s="657">
        <f t="shared" ref="L731:M731" si="364">+SUBTOTAL(9,L728:L730)</f>
        <v>0</v>
      </c>
      <c r="M731" s="657">
        <f t="shared" si="364"/>
        <v>0</v>
      </c>
    </row>
    <row r="732" spans="1:13" s="779" customFormat="1">
      <c r="A732" s="628">
        <v>7</v>
      </c>
      <c r="B732" s="301" t="s">
        <v>617</v>
      </c>
      <c r="C732" s="774"/>
      <c r="D732" s="649"/>
      <c r="E732" s="775"/>
      <c r="F732" s="776"/>
      <c r="G732" s="777"/>
      <c r="H732" s="777"/>
      <c r="I732" s="780"/>
      <c r="J732" s="781"/>
      <c r="K732" s="778"/>
      <c r="L732" s="778"/>
      <c r="M732" s="778"/>
    </row>
    <row r="733" spans="1:13" ht="26.25">
      <c r="A733" s="637">
        <v>7.01</v>
      </c>
      <c r="B733" s="315" t="s">
        <v>618</v>
      </c>
      <c r="C733" s="638">
        <v>10.34</v>
      </c>
      <c r="D733" s="639" t="s">
        <v>605</v>
      </c>
      <c r="E733" s="655">
        <v>474.94999999999987</v>
      </c>
      <c r="F733" s="641">
        <f t="shared" si="358"/>
        <v>4910.9829999999984</v>
      </c>
      <c r="G733" s="632"/>
      <c r="H733" s="632"/>
      <c r="I733" s="642">
        <f t="shared" si="359"/>
        <v>0</v>
      </c>
      <c r="J733" s="643">
        <f t="shared" si="360"/>
        <v>0</v>
      </c>
      <c r="K733" s="636"/>
      <c r="L733" s="636">
        <f t="shared" si="361"/>
        <v>0</v>
      </c>
      <c r="M733" s="636">
        <f t="shared" si="362"/>
        <v>0</v>
      </c>
    </row>
    <row r="734" spans="1:13">
      <c r="A734" s="637"/>
      <c r="B734" s="315"/>
      <c r="C734" s="638"/>
      <c r="D734" s="639"/>
      <c r="E734" s="655"/>
      <c r="F734" s="772">
        <f>+SUBTOTAL(9,F733)</f>
        <v>4910.9829999999984</v>
      </c>
      <c r="G734" s="632"/>
      <c r="H734" s="632"/>
      <c r="I734" s="642"/>
      <c r="J734" s="652"/>
      <c r="K734" s="657">
        <f>+SUBTOTAL(9,K733)</f>
        <v>0</v>
      </c>
      <c r="L734" s="657">
        <f t="shared" ref="L734:M734" si="365">+SUBTOTAL(9,L733)</f>
        <v>0</v>
      </c>
      <c r="M734" s="657">
        <f t="shared" si="365"/>
        <v>0</v>
      </c>
    </row>
    <row r="735" spans="1:13" s="779" customFormat="1">
      <c r="A735" s="628">
        <v>8</v>
      </c>
      <c r="B735" s="301" t="s">
        <v>274</v>
      </c>
      <c r="C735" s="774"/>
      <c r="D735" s="649"/>
      <c r="E735" s="775"/>
      <c r="F735" s="776"/>
      <c r="G735" s="777"/>
      <c r="H735" s="777"/>
      <c r="I735" s="780"/>
      <c r="J735" s="781"/>
      <c r="K735" s="778"/>
      <c r="L735" s="778"/>
      <c r="M735" s="778"/>
    </row>
    <row r="736" spans="1:13">
      <c r="A736" s="637">
        <v>8.01</v>
      </c>
      <c r="B736" s="315" t="s">
        <v>619</v>
      </c>
      <c r="C736" s="638">
        <v>14.96</v>
      </c>
      <c r="D736" s="639" t="s">
        <v>30</v>
      </c>
      <c r="E736" s="655">
        <v>319.56110000000018</v>
      </c>
      <c r="F736" s="641">
        <f t="shared" si="358"/>
        <v>4780.6340560000026</v>
      </c>
      <c r="G736" s="632"/>
      <c r="H736" s="632"/>
      <c r="I736" s="642">
        <f t="shared" si="359"/>
        <v>0</v>
      </c>
      <c r="J736" s="643">
        <f t="shared" si="360"/>
        <v>0</v>
      </c>
      <c r="K736" s="636"/>
      <c r="L736" s="636">
        <f t="shared" si="361"/>
        <v>0</v>
      </c>
      <c r="M736" s="636">
        <f t="shared" si="362"/>
        <v>0</v>
      </c>
    </row>
    <row r="737" spans="1:13">
      <c r="A737" s="637">
        <v>8.02</v>
      </c>
      <c r="B737" s="315" t="s">
        <v>620</v>
      </c>
      <c r="C737" s="638">
        <v>4</v>
      </c>
      <c r="D737" s="639" t="s">
        <v>189</v>
      </c>
      <c r="E737" s="655">
        <v>4565.335</v>
      </c>
      <c r="F737" s="641">
        <f t="shared" si="358"/>
        <v>18261.34</v>
      </c>
      <c r="G737" s="632"/>
      <c r="H737" s="632"/>
      <c r="I737" s="642">
        <f t="shared" si="359"/>
        <v>0</v>
      </c>
      <c r="J737" s="643">
        <f t="shared" si="360"/>
        <v>0</v>
      </c>
      <c r="K737" s="636"/>
      <c r="L737" s="636">
        <f t="shared" si="361"/>
        <v>0</v>
      </c>
      <c r="M737" s="636">
        <f t="shared" si="362"/>
        <v>0</v>
      </c>
    </row>
    <row r="738" spans="1:13">
      <c r="A738" s="637"/>
      <c r="B738" s="315"/>
      <c r="C738" s="638"/>
      <c r="D738" s="639"/>
      <c r="E738" s="655"/>
      <c r="F738" s="772">
        <f>+SUBTOTAL(9,F736:F737)</f>
        <v>23041.974056000003</v>
      </c>
      <c r="G738" s="632"/>
      <c r="H738" s="632"/>
      <c r="I738" s="642"/>
      <c r="J738" s="652"/>
      <c r="K738" s="657">
        <f>+SUBTOTAL(9,K736:K737)</f>
        <v>0</v>
      </c>
      <c r="L738" s="657">
        <f t="shared" ref="L738:M738" si="366">+SUBTOTAL(9,L736:L737)</f>
        <v>0</v>
      </c>
      <c r="M738" s="657">
        <f t="shared" si="366"/>
        <v>0</v>
      </c>
    </row>
    <row r="739" spans="1:13" s="779" customFormat="1">
      <c r="A739" s="628">
        <v>9</v>
      </c>
      <c r="B739" s="301" t="s">
        <v>691</v>
      </c>
      <c r="C739" s="774"/>
      <c r="D739" s="649"/>
      <c r="E739" s="775"/>
      <c r="F739" s="776"/>
      <c r="G739" s="777"/>
      <c r="H739" s="777"/>
      <c r="I739" s="780"/>
      <c r="J739" s="781"/>
      <c r="K739" s="778"/>
      <c r="L739" s="778"/>
      <c r="M739" s="778"/>
    </row>
    <row r="740" spans="1:13">
      <c r="A740" s="637">
        <v>9.01</v>
      </c>
      <c r="B740" s="315" t="s">
        <v>622</v>
      </c>
      <c r="C740" s="638">
        <v>1383.6799999999998</v>
      </c>
      <c r="D740" s="639" t="s">
        <v>189</v>
      </c>
      <c r="E740" s="655">
        <v>434.54</v>
      </c>
      <c r="F740" s="641">
        <f t="shared" si="358"/>
        <v>601264.30719999992</v>
      </c>
      <c r="G740" s="632"/>
      <c r="H740" s="632"/>
      <c r="I740" s="642">
        <f t="shared" si="359"/>
        <v>0</v>
      </c>
      <c r="J740" s="643">
        <f t="shared" si="360"/>
        <v>0</v>
      </c>
      <c r="K740" s="636"/>
      <c r="L740" s="636">
        <f t="shared" si="361"/>
        <v>0</v>
      </c>
      <c r="M740" s="636">
        <f t="shared" si="362"/>
        <v>0</v>
      </c>
    </row>
    <row r="741" spans="1:13">
      <c r="A741" s="637"/>
      <c r="B741" s="315"/>
      <c r="C741" s="638"/>
      <c r="D741" s="639"/>
      <c r="E741" s="655"/>
      <c r="F741" s="772">
        <f>+SUBTOTAL(9,F740)</f>
        <v>601264.30719999992</v>
      </c>
      <c r="G741" s="632"/>
      <c r="H741" s="632"/>
      <c r="I741" s="642"/>
      <c r="J741" s="652"/>
      <c r="K741" s="657">
        <f>+SUBTOTAL(9,K740)</f>
        <v>0</v>
      </c>
      <c r="L741" s="657">
        <f t="shared" ref="L741:M741" si="367">+SUBTOTAL(9,L740)</f>
        <v>0</v>
      </c>
      <c r="M741" s="657">
        <f t="shared" si="367"/>
        <v>0</v>
      </c>
    </row>
    <row r="742" spans="1:13" s="779" customFormat="1">
      <c r="A742" s="628">
        <v>10</v>
      </c>
      <c r="B742" s="301" t="s">
        <v>623</v>
      </c>
      <c r="C742" s="774"/>
      <c r="D742" s="649"/>
      <c r="E742" s="775"/>
      <c r="F742" s="776"/>
      <c r="G742" s="777"/>
      <c r="H742" s="777"/>
      <c r="I742" s="780"/>
      <c r="J742" s="781"/>
      <c r="K742" s="778"/>
      <c r="L742" s="778"/>
      <c r="M742" s="778"/>
    </row>
    <row r="743" spans="1:13">
      <c r="A743" s="637">
        <v>10.01</v>
      </c>
      <c r="B743" s="315" t="s">
        <v>624</v>
      </c>
      <c r="C743" s="638"/>
      <c r="D743" s="639"/>
      <c r="E743" s="655"/>
      <c r="F743" s="641"/>
      <c r="G743" s="632"/>
      <c r="H743" s="632"/>
      <c r="I743" s="642"/>
      <c r="J743" s="643"/>
      <c r="K743" s="636"/>
      <c r="L743" s="636"/>
      <c r="M743" s="636"/>
    </row>
    <row r="744" spans="1:13">
      <c r="A744" s="637" t="s">
        <v>687</v>
      </c>
      <c r="B744" s="315" t="s">
        <v>625</v>
      </c>
      <c r="C744" s="638">
        <v>2.7</v>
      </c>
      <c r="D744" s="639" t="s">
        <v>189</v>
      </c>
      <c r="E744" s="655">
        <v>2050.4444444444448</v>
      </c>
      <c r="F744" s="641">
        <f t="shared" si="358"/>
        <v>5536.2000000000016</v>
      </c>
      <c r="G744" s="632"/>
      <c r="H744" s="632"/>
      <c r="I744" s="642">
        <f t="shared" si="359"/>
        <v>0</v>
      </c>
      <c r="J744" s="643">
        <f t="shared" si="360"/>
        <v>0</v>
      </c>
      <c r="K744" s="636"/>
      <c r="L744" s="636">
        <f t="shared" si="361"/>
        <v>0</v>
      </c>
      <c r="M744" s="636">
        <f t="shared" si="362"/>
        <v>0</v>
      </c>
    </row>
    <row r="745" spans="1:13">
      <c r="A745" s="637" t="s">
        <v>670</v>
      </c>
      <c r="B745" s="315" t="s">
        <v>626</v>
      </c>
      <c r="C745" s="638">
        <v>3</v>
      </c>
      <c r="D745" s="639" t="s">
        <v>32</v>
      </c>
      <c r="E745" s="655">
        <v>3209.1899999999973</v>
      </c>
      <c r="F745" s="641">
        <f t="shared" si="358"/>
        <v>9627.5699999999924</v>
      </c>
      <c r="G745" s="632"/>
      <c r="H745" s="632"/>
      <c r="I745" s="642">
        <f t="shared" si="359"/>
        <v>0</v>
      </c>
      <c r="J745" s="643">
        <f t="shared" si="360"/>
        <v>0</v>
      </c>
      <c r="K745" s="636"/>
      <c r="L745" s="636">
        <f t="shared" si="361"/>
        <v>0</v>
      </c>
      <c r="M745" s="636">
        <f t="shared" si="362"/>
        <v>0</v>
      </c>
    </row>
    <row r="746" spans="1:13">
      <c r="A746" s="637" t="s">
        <v>671</v>
      </c>
      <c r="B746" s="315" t="s">
        <v>627</v>
      </c>
      <c r="C746" s="638">
        <v>4</v>
      </c>
      <c r="D746" s="639" t="s">
        <v>32</v>
      </c>
      <c r="E746" s="655">
        <v>8421.9799999999977</v>
      </c>
      <c r="F746" s="641">
        <f t="shared" si="358"/>
        <v>33687.919999999991</v>
      </c>
      <c r="G746" s="632"/>
      <c r="H746" s="632"/>
      <c r="I746" s="642">
        <f t="shared" si="359"/>
        <v>0</v>
      </c>
      <c r="J746" s="643">
        <f t="shared" si="360"/>
        <v>0</v>
      </c>
      <c r="K746" s="636"/>
      <c r="L746" s="636">
        <f t="shared" si="361"/>
        <v>0</v>
      </c>
      <c r="M746" s="636">
        <f t="shared" si="362"/>
        <v>0</v>
      </c>
    </row>
    <row r="747" spans="1:13">
      <c r="A747" s="637" t="s">
        <v>672</v>
      </c>
      <c r="B747" s="315" t="s">
        <v>673</v>
      </c>
      <c r="C747" s="638">
        <v>1</v>
      </c>
      <c r="D747" s="639" t="s">
        <v>32</v>
      </c>
      <c r="E747" s="655">
        <v>1117.73</v>
      </c>
      <c r="F747" s="641">
        <f t="shared" si="358"/>
        <v>1117.73</v>
      </c>
      <c r="G747" s="632"/>
      <c r="H747" s="632"/>
      <c r="I747" s="642">
        <f t="shared" si="359"/>
        <v>0</v>
      </c>
      <c r="J747" s="643">
        <f t="shared" si="360"/>
        <v>0</v>
      </c>
      <c r="K747" s="636"/>
      <c r="L747" s="636">
        <f t="shared" si="361"/>
        <v>0</v>
      </c>
      <c r="M747" s="636">
        <f t="shared" si="362"/>
        <v>0</v>
      </c>
    </row>
    <row r="748" spans="1:13">
      <c r="A748" s="637" t="s">
        <v>680</v>
      </c>
      <c r="B748" s="315" t="s">
        <v>629</v>
      </c>
      <c r="C748" s="638">
        <v>1</v>
      </c>
      <c r="D748" s="639" t="s">
        <v>32</v>
      </c>
      <c r="E748" s="655">
        <v>7155.7100000000009</v>
      </c>
      <c r="F748" s="641">
        <f t="shared" si="358"/>
        <v>7155.7100000000009</v>
      </c>
      <c r="G748" s="632"/>
      <c r="H748" s="632"/>
      <c r="I748" s="642">
        <f t="shared" si="359"/>
        <v>0</v>
      </c>
      <c r="J748" s="643">
        <f t="shared" si="360"/>
        <v>0</v>
      </c>
      <c r="K748" s="636"/>
      <c r="L748" s="636">
        <f t="shared" si="361"/>
        <v>0</v>
      </c>
      <c r="M748" s="636">
        <f t="shared" si="362"/>
        <v>0</v>
      </c>
    </row>
    <row r="749" spans="1:13">
      <c r="A749" s="637" t="s">
        <v>681</v>
      </c>
      <c r="B749" s="315" t="s">
        <v>688</v>
      </c>
      <c r="C749" s="638">
        <v>0.5</v>
      </c>
      <c r="D749" s="639" t="s">
        <v>32</v>
      </c>
      <c r="E749" s="655">
        <v>716.60999999999967</v>
      </c>
      <c r="F749" s="641">
        <f t="shared" si="358"/>
        <v>358.30499999999984</v>
      </c>
      <c r="G749" s="632"/>
      <c r="H749" s="632"/>
      <c r="I749" s="642">
        <f t="shared" si="359"/>
        <v>0</v>
      </c>
      <c r="J749" s="643">
        <f t="shared" si="360"/>
        <v>0</v>
      </c>
      <c r="K749" s="636"/>
      <c r="L749" s="636">
        <f t="shared" si="361"/>
        <v>0</v>
      </c>
      <c r="M749" s="636">
        <f t="shared" si="362"/>
        <v>0</v>
      </c>
    </row>
    <row r="750" spans="1:13">
      <c r="A750" s="637" t="s">
        <v>689</v>
      </c>
      <c r="B750" s="315" t="s">
        <v>631</v>
      </c>
      <c r="C750" s="638">
        <v>0.5</v>
      </c>
      <c r="D750" s="639" t="s">
        <v>88</v>
      </c>
      <c r="E750" s="655">
        <v>112800</v>
      </c>
      <c r="F750" s="641">
        <f t="shared" si="358"/>
        <v>56400</v>
      </c>
      <c r="G750" s="632"/>
      <c r="H750" s="632"/>
      <c r="I750" s="642">
        <f t="shared" si="359"/>
        <v>0</v>
      </c>
      <c r="J750" s="643">
        <f t="shared" si="360"/>
        <v>0</v>
      </c>
      <c r="K750" s="636"/>
      <c r="L750" s="636">
        <f t="shared" si="361"/>
        <v>0</v>
      </c>
      <c r="M750" s="636">
        <f t="shared" si="362"/>
        <v>0</v>
      </c>
    </row>
    <row r="751" spans="1:13">
      <c r="A751" s="637">
        <v>10.02</v>
      </c>
      <c r="B751" s="315" t="s">
        <v>632</v>
      </c>
      <c r="C751" s="638"/>
      <c r="D751" s="639"/>
      <c r="E751" s="655"/>
      <c r="F751" s="641"/>
      <c r="G751" s="632"/>
      <c r="H751" s="632"/>
      <c r="I751" s="642"/>
      <c r="J751" s="643"/>
      <c r="K751" s="636"/>
      <c r="L751" s="636"/>
      <c r="M751" s="636"/>
    </row>
    <row r="752" spans="1:13">
      <c r="A752" s="637" t="s">
        <v>682</v>
      </c>
      <c r="B752" s="315" t="s">
        <v>633</v>
      </c>
      <c r="C752" s="638">
        <v>5</v>
      </c>
      <c r="D752" s="639" t="s">
        <v>353</v>
      </c>
      <c r="E752" s="655">
        <v>2195.0039999999999</v>
      </c>
      <c r="F752" s="641">
        <f t="shared" si="358"/>
        <v>10975.02</v>
      </c>
      <c r="G752" s="632"/>
      <c r="H752" s="632"/>
      <c r="I752" s="642">
        <f t="shared" si="359"/>
        <v>0</v>
      </c>
      <c r="J752" s="643">
        <f t="shared" si="360"/>
        <v>0</v>
      </c>
      <c r="K752" s="636"/>
      <c r="L752" s="636">
        <f t="shared" si="361"/>
        <v>0</v>
      </c>
      <c r="M752" s="636">
        <f t="shared" si="362"/>
        <v>0</v>
      </c>
    </row>
    <row r="753" spans="1:13">
      <c r="A753" s="637" t="s">
        <v>683</v>
      </c>
      <c r="B753" s="315" t="s">
        <v>625</v>
      </c>
      <c r="C753" s="638">
        <v>0.6</v>
      </c>
      <c r="D753" s="639" t="s">
        <v>189</v>
      </c>
      <c r="E753" s="655">
        <v>2142.8600000000006</v>
      </c>
      <c r="F753" s="641">
        <f t="shared" si="358"/>
        <v>1285.7160000000003</v>
      </c>
      <c r="G753" s="632"/>
      <c r="H753" s="632"/>
      <c r="I753" s="642">
        <f t="shared" si="359"/>
        <v>0</v>
      </c>
      <c r="J753" s="643">
        <f t="shared" si="360"/>
        <v>0</v>
      </c>
      <c r="K753" s="636"/>
      <c r="L753" s="636">
        <f t="shared" si="361"/>
        <v>0</v>
      </c>
      <c r="M753" s="636">
        <f t="shared" si="362"/>
        <v>0</v>
      </c>
    </row>
    <row r="754" spans="1:13">
      <c r="A754" s="637" t="s">
        <v>684</v>
      </c>
      <c r="B754" s="315" t="s">
        <v>634</v>
      </c>
      <c r="C754" s="638">
        <v>0.5</v>
      </c>
      <c r="D754" s="639" t="s">
        <v>32</v>
      </c>
      <c r="E754" s="655">
        <v>4275.0400000000009</v>
      </c>
      <c r="F754" s="641">
        <f t="shared" si="358"/>
        <v>2137.5200000000004</v>
      </c>
      <c r="G754" s="632"/>
      <c r="H754" s="632"/>
      <c r="I754" s="642">
        <f t="shared" si="359"/>
        <v>0</v>
      </c>
      <c r="J754" s="643">
        <f t="shared" si="360"/>
        <v>0</v>
      </c>
      <c r="K754" s="636"/>
      <c r="L754" s="636">
        <f t="shared" si="361"/>
        <v>0</v>
      </c>
      <c r="M754" s="636">
        <f t="shared" si="362"/>
        <v>0</v>
      </c>
    </row>
    <row r="755" spans="1:13">
      <c r="A755" s="637" t="s">
        <v>685</v>
      </c>
      <c r="B755" s="315" t="s">
        <v>688</v>
      </c>
      <c r="C755" s="638">
        <v>0.5</v>
      </c>
      <c r="D755" s="639" t="s">
        <v>32</v>
      </c>
      <c r="E755" s="655">
        <v>716.60999999999967</v>
      </c>
      <c r="F755" s="641">
        <f t="shared" si="358"/>
        <v>358.30499999999984</v>
      </c>
      <c r="G755" s="632"/>
      <c r="H755" s="632"/>
      <c r="I755" s="642">
        <f t="shared" si="359"/>
        <v>0</v>
      </c>
      <c r="J755" s="643">
        <f t="shared" si="360"/>
        <v>0</v>
      </c>
      <c r="K755" s="636"/>
      <c r="L755" s="636">
        <f t="shared" si="361"/>
        <v>0</v>
      </c>
      <c r="M755" s="636">
        <f t="shared" si="362"/>
        <v>0</v>
      </c>
    </row>
    <row r="756" spans="1:13">
      <c r="A756" s="637"/>
      <c r="B756" s="315"/>
      <c r="C756" s="638"/>
      <c r="D756" s="639"/>
      <c r="E756" s="655"/>
      <c r="F756" s="772">
        <f>+SUBTOTAL(9,F744:F755)</f>
        <v>128639.996</v>
      </c>
      <c r="G756" s="632"/>
      <c r="H756" s="632"/>
      <c r="I756" s="642"/>
      <c r="J756" s="652"/>
      <c r="K756" s="657">
        <f>+SUBTOTAL(9,K744:K755)</f>
        <v>0</v>
      </c>
      <c r="L756" s="657">
        <f t="shared" ref="L756:M756" si="368">+SUBTOTAL(9,L744:L755)</f>
        <v>0</v>
      </c>
      <c r="M756" s="657">
        <f t="shared" si="368"/>
        <v>0</v>
      </c>
    </row>
    <row r="757" spans="1:13" s="779" customFormat="1">
      <c r="A757" s="628">
        <v>11</v>
      </c>
      <c r="B757" s="301" t="s">
        <v>636</v>
      </c>
      <c r="C757" s="774"/>
      <c r="D757" s="649"/>
      <c r="E757" s="775"/>
      <c r="F757" s="776"/>
      <c r="G757" s="777"/>
      <c r="H757" s="777"/>
      <c r="I757" s="780"/>
      <c r="J757" s="781"/>
      <c r="K757" s="778"/>
      <c r="L757" s="778"/>
      <c r="M757" s="778"/>
    </row>
    <row r="758" spans="1:13">
      <c r="A758" s="637">
        <v>11.01</v>
      </c>
      <c r="B758" s="315" t="s">
        <v>637</v>
      </c>
      <c r="C758" s="638">
        <v>25</v>
      </c>
      <c r="D758" s="639" t="s">
        <v>32</v>
      </c>
      <c r="E758" s="655">
        <v>497.10600000000034</v>
      </c>
      <c r="F758" s="641">
        <f t="shared" si="358"/>
        <v>12427.650000000009</v>
      </c>
      <c r="G758" s="632"/>
      <c r="H758" s="632"/>
      <c r="I758" s="642">
        <f t="shared" si="359"/>
        <v>0</v>
      </c>
      <c r="J758" s="643">
        <f t="shared" si="360"/>
        <v>0</v>
      </c>
      <c r="K758" s="636"/>
      <c r="L758" s="636">
        <f t="shared" si="361"/>
        <v>0</v>
      </c>
      <c r="M758" s="636">
        <f t="shared" si="362"/>
        <v>0</v>
      </c>
    </row>
    <row r="759" spans="1:13">
      <c r="A759" s="637">
        <v>11.02</v>
      </c>
      <c r="B759" s="315" t="s">
        <v>638</v>
      </c>
      <c r="C759" s="638">
        <v>6</v>
      </c>
      <c r="D759" s="639" t="s">
        <v>32</v>
      </c>
      <c r="E759" s="655">
        <v>543.6</v>
      </c>
      <c r="F759" s="641">
        <f t="shared" si="358"/>
        <v>3261.6000000000004</v>
      </c>
      <c r="G759" s="632"/>
      <c r="H759" s="632"/>
      <c r="I759" s="642">
        <f t="shared" si="359"/>
        <v>0</v>
      </c>
      <c r="J759" s="643">
        <f t="shared" si="360"/>
        <v>0</v>
      </c>
      <c r="K759" s="636"/>
      <c r="L759" s="636">
        <f t="shared" si="361"/>
        <v>0</v>
      </c>
      <c r="M759" s="636">
        <f t="shared" si="362"/>
        <v>0</v>
      </c>
    </row>
    <row r="760" spans="1:13">
      <c r="A760" s="637">
        <v>11.03</v>
      </c>
      <c r="B760" s="315" t="s">
        <v>639</v>
      </c>
      <c r="C760" s="638">
        <v>1</v>
      </c>
      <c r="D760" s="639" t="s">
        <v>32</v>
      </c>
      <c r="E760" s="655">
        <v>720.18000000000029</v>
      </c>
      <c r="F760" s="641">
        <f t="shared" si="358"/>
        <v>720.18000000000029</v>
      </c>
      <c r="G760" s="632"/>
      <c r="H760" s="632"/>
      <c r="I760" s="642">
        <f t="shared" si="359"/>
        <v>0</v>
      </c>
      <c r="J760" s="643">
        <f t="shared" si="360"/>
        <v>0</v>
      </c>
      <c r="K760" s="636"/>
      <c r="L760" s="636">
        <f t="shared" si="361"/>
        <v>0</v>
      </c>
      <c r="M760" s="636">
        <f t="shared" si="362"/>
        <v>0</v>
      </c>
    </row>
    <row r="761" spans="1:13">
      <c r="A761" s="637">
        <v>11.04</v>
      </c>
      <c r="B761" s="315" t="s">
        <v>640</v>
      </c>
      <c r="C761" s="638">
        <v>0.5</v>
      </c>
      <c r="D761" s="639" t="s">
        <v>32</v>
      </c>
      <c r="E761" s="655">
        <v>870.11599999999953</v>
      </c>
      <c r="F761" s="641">
        <f t="shared" si="358"/>
        <v>435.05799999999977</v>
      </c>
      <c r="G761" s="632"/>
      <c r="H761" s="632"/>
      <c r="I761" s="642">
        <f t="shared" si="359"/>
        <v>0</v>
      </c>
      <c r="J761" s="643">
        <f t="shared" si="360"/>
        <v>0</v>
      </c>
      <c r="K761" s="636"/>
      <c r="L761" s="636">
        <f t="shared" si="361"/>
        <v>0</v>
      </c>
      <c r="M761" s="636">
        <f t="shared" si="362"/>
        <v>0</v>
      </c>
    </row>
    <row r="762" spans="1:13">
      <c r="A762" s="637">
        <v>11.049999999999999</v>
      </c>
      <c r="B762" s="315" t="s">
        <v>641</v>
      </c>
      <c r="C762" s="638">
        <v>1</v>
      </c>
      <c r="D762" s="639" t="s">
        <v>32</v>
      </c>
      <c r="E762" s="655">
        <v>660.37400000000025</v>
      </c>
      <c r="F762" s="641">
        <f t="shared" si="358"/>
        <v>660.37400000000025</v>
      </c>
      <c r="G762" s="632"/>
      <c r="H762" s="632"/>
      <c r="I762" s="642">
        <f t="shared" si="359"/>
        <v>0</v>
      </c>
      <c r="J762" s="643">
        <f t="shared" si="360"/>
        <v>0</v>
      </c>
      <c r="K762" s="636"/>
      <c r="L762" s="636">
        <f t="shared" si="361"/>
        <v>0</v>
      </c>
      <c r="M762" s="636">
        <f t="shared" si="362"/>
        <v>0</v>
      </c>
    </row>
    <row r="763" spans="1:13">
      <c r="A763" s="637">
        <v>11.059999999999999</v>
      </c>
      <c r="B763" s="315" t="s">
        <v>642</v>
      </c>
      <c r="C763" s="638">
        <v>30</v>
      </c>
      <c r="D763" s="639" t="s">
        <v>32</v>
      </c>
      <c r="E763" s="655">
        <v>688.7399999999999</v>
      </c>
      <c r="F763" s="641">
        <f t="shared" si="358"/>
        <v>20662.199999999997</v>
      </c>
      <c r="G763" s="632"/>
      <c r="H763" s="632"/>
      <c r="I763" s="642">
        <f t="shared" si="359"/>
        <v>0</v>
      </c>
      <c r="J763" s="643">
        <f t="shared" si="360"/>
        <v>0</v>
      </c>
      <c r="K763" s="636"/>
      <c r="L763" s="636">
        <f t="shared" si="361"/>
        <v>0</v>
      </c>
      <c r="M763" s="636">
        <f t="shared" si="362"/>
        <v>0</v>
      </c>
    </row>
    <row r="764" spans="1:13">
      <c r="A764" s="637">
        <v>11.069999999999999</v>
      </c>
      <c r="B764" s="315" t="s">
        <v>643</v>
      </c>
      <c r="C764" s="638">
        <v>7.5</v>
      </c>
      <c r="D764" s="639" t="s">
        <v>32</v>
      </c>
      <c r="E764" s="655">
        <v>1311.5259999999994</v>
      </c>
      <c r="F764" s="641">
        <f t="shared" si="358"/>
        <v>9836.4449999999961</v>
      </c>
      <c r="G764" s="632"/>
      <c r="H764" s="632"/>
      <c r="I764" s="642">
        <f t="shared" si="359"/>
        <v>0</v>
      </c>
      <c r="J764" s="643">
        <f t="shared" si="360"/>
        <v>0</v>
      </c>
      <c r="K764" s="636"/>
      <c r="L764" s="636">
        <f t="shared" si="361"/>
        <v>0</v>
      </c>
      <c r="M764" s="636">
        <f t="shared" si="362"/>
        <v>0</v>
      </c>
    </row>
    <row r="765" spans="1:13">
      <c r="A765" s="637">
        <v>11.079999999999998</v>
      </c>
      <c r="B765" s="315" t="s">
        <v>644</v>
      </c>
      <c r="C765" s="638">
        <v>22</v>
      </c>
      <c r="D765" s="639" t="s">
        <v>32</v>
      </c>
      <c r="E765" s="655">
        <v>339.20399999999989</v>
      </c>
      <c r="F765" s="641">
        <f t="shared" si="358"/>
        <v>7462.4879999999976</v>
      </c>
      <c r="G765" s="632"/>
      <c r="H765" s="632"/>
      <c r="I765" s="642">
        <f t="shared" si="359"/>
        <v>0</v>
      </c>
      <c r="J765" s="643">
        <f t="shared" si="360"/>
        <v>0</v>
      </c>
      <c r="K765" s="636"/>
      <c r="L765" s="636">
        <f t="shared" si="361"/>
        <v>0</v>
      </c>
      <c r="M765" s="636">
        <f t="shared" si="362"/>
        <v>0</v>
      </c>
    </row>
    <row r="766" spans="1:13">
      <c r="A766" s="637">
        <v>11.089999999999998</v>
      </c>
      <c r="B766" s="315" t="s">
        <v>645</v>
      </c>
      <c r="C766" s="638">
        <v>0.5</v>
      </c>
      <c r="D766" s="639" t="s">
        <v>32</v>
      </c>
      <c r="E766" s="655">
        <v>8650.1759999999995</v>
      </c>
      <c r="F766" s="641">
        <f t="shared" si="358"/>
        <v>4325.0879999999997</v>
      </c>
      <c r="G766" s="632"/>
      <c r="H766" s="632"/>
      <c r="I766" s="642">
        <f t="shared" si="359"/>
        <v>0</v>
      </c>
      <c r="J766" s="643">
        <f t="shared" si="360"/>
        <v>0</v>
      </c>
      <c r="K766" s="636"/>
      <c r="L766" s="636">
        <f t="shared" si="361"/>
        <v>0</v>
      </c>
      <c r="M766" s="636">
        <f t="shared" si="362"/>
        <v>0</v>
      </c>
    </row>
    <row r="767" spans="1:13">
      <c r="A767" s="637"/>
      <c r="B767" s="315"/>
      <c r="C767" s="638"/>
      <c r="D767" s="639"/>
      <c r="E767" s="655"/>
      <c r="F767" s="772">
        <f>+SUBTOTAL(9,F758:F766)</f>
        <v>59791.082999999999</v>
      </c>
      <c r="G767" s="632"/>
      <c r="H767" s="632"/>
      <c r="I767" s="642"/>
      <c r="J767" s="652"/>
      <c r="K767" s="657">
        <f>+SUBTOTAL(9,K758:K766)</f>
        <v>0</v>
      </c>
      <c r="L767" s="657">
        <f t="shared" ref="L767:M767" si="369">+SUBTOTAL(9,L758:L766)</f>
        <v>0</v>
      </c>
      <c r="M767" s="657">
        <f t="shared" si="369"/>
        <v>0</v>
      </c>
    </row>
    <row r="768" spans="1:13" s="779" customFormat="1">
      <c r="A768" s="628" t="s">
        <v>210</v>
      </c>
      <c r="B768" s="301" t="s">
        <v>649</v>
      </c>
      <c r="C768" s="774"/>
      <c r="D768" s="649"/>
      <c r="E768" s="775"/>
      <c r="F768" s="776"/>
      <c r="G768" s="777"/>
      <c r="H768" s="777"/>
      <c r="I768" s="780"/>
      <c r="J768" s="781"/>
      <c r="K768" s="778"/>
      <c r="L768" s="778"/>
      <c r="M768" s="778"/>
    </row>
    <row r="769" spans="1:13" s="779" customFormat="1">
      <c r="A769" s="628">
        <v>1</v>
      </c>
      <c r="B769" s="301" t="s">
        <v>585</v>
      </c>
      <c r="C769" s="774"/>
      <c r="D769" s="649"/>
      <c r="E769" s="775"/>
      <c r="F769" s="776"/>
      <c r="G769" s="777"/>
      <c r="H769" s="777"/>
      <c r="I769" s="780"/>
      <c r="J769" s="781"/>
      <c r="K769" s="778"/>
      <c r="L769" s="778"/>
      <c r="M769" s="778"/>
    </row>
    <row r="770" spans="1:13">
      <c r="A770" s="637">
        <v>1.01</v>
      </c>
      <c r="B770" s="315" t="s">
        <v>588</v>
      </c>
      <c r="C770" s="638">
        <v>2.6325000000000021</v>
      </c>
      <c r="D770" s="639" t="s">
        <v>38</v>
      </c>
      <c r="E770" s="655">
        <v>18225.630000000008</v>
      </c>
      <c r="F770" s="641">
        <f t="shared" si="358"/>
        <v>47978.970975000062</v>
      </c>
      <c r="G770" s="632"/>
      <c r="H770" s="632"/>
      <c r="I770" s="642">
        <f t="shared" si="359"/>
        <v>0</v>
      </c>
      <c r="J770" s="643">
        <f t="shared" si="360"/>
        <v>0</v>
      </c>
      <c r="K770" s="636"/>
      <c r="L770" s="636">
        <f t="shared" si="361"/>
        <v>0</v>
      </c>
      <c r="M770" s="636">
        <f t="shared" si="362"/>
        <v>0</v>
      </c>
    </row>
    <row r="771" spans="1:13">
      <c r="A771" s="637">
        <v>1.02</v>
      </c>
      <c r="B771" s="315" t="s">
        <v>590</v>
      </c>
      <c r="C771" s="638">
        <v>14.1175</v>
      </c>
      <c r="D771" s="639" t="s">
        <v>38</v>
      </c>
      <c r="E771" s="655">
        <v>11242.639999999994</v>
      </c>
      <c r="F771" s="641">
        <f t="shared" si="358"/>
        <v>158717.97019999992</v>
      </c>
      <c r="G771" s="632"/>
      <c r="H771" s="632"/>
      <c r="I771" s="642">
        <f t="shared" si="359"/>
        <v>0</v>
      </c>
      <c r="J771" s="643">
        <f t="shared" si="360"/>
        <v>0</v>
      </c>
      <c r="K771" s="636"/>
      <c r="L771" s="636">
        <f t="shared" si="361"/>
        <v>0</v>
      </c>
      <c r="M771" s="636">
        <f t="shared" si="362"/>
        <v>0</v>
      </c>
    </row>
    <row r="772" spans="1:13">
      <c r="A772" s="637">
        <v>1.03</v>
      </c>
      <c r="B772" s="315" t="s">
        <v>591</v>
      </c>
      <c r="C772" s="638">
        <v>5.3125</v>
      </c>
      <c r="D772" s="639" t="s">
        <v>38</v>
      </c>
      <c r="E772" s="655">
        <v>9398.9800000000032</v>
      </c>
      <c r="F772" s="641">
        <f t="shared" si="358"/>
        <v>49932.081250000017</v>
      </c>
      <c r="G772" s="632"/>
      <c r="H772" s="632"/>
      <c r="I772" s="642">
        <f t="shared" si="359"/>
        <v>0</v>
      </c>
      <c r="J772" s="643">
        <f t="shared" si="360"/>
        <v>0</v>
      </c>
      <c r="K772" s="636"/>
      <c r="L772" s="636">
        <f t="shared" si="361"/>
        <v>0</v>
      </c>
      <c r="M772" s="636">
        <f t="shared" si="362"/>
        <v>0</v>
      </c>
    </row>
    <row r="773" spans="1:13">
      <c r="A773" s="637">
        <v>1.04</v>
      </c>
      <c r="B773" s="315" t="s">
        <v>592</v>
      </c>
      <c r="C773" s="638">
        <v>0.59499999999999997</v>
      </c>
      <c r="D773" s="639" t="s">
        <v>38</v>
      </c>
      <c r="E773" s="655">
        <v>10807.939999999997</v>
      </c>
      <c r="F773" s="641">
        <f t="shared" si="358"/>
        <v>6430.724299999998</v>
      </c>
      <c r="G773" s="632"/>
      <c r="H773" s="632"/>
      <c r="I773" s="642">
        <f t="shared" si="359"/>
        <v>0</v>
      </c>
      <c r="J773" s="643">
        <f t="shared" si="360"/>
        <v>0</v>
      </c>
      <c r="K773" s="636"/>
      <c r="L773" s="636">
        <f t="shared" si="361"/>
        <v>0</v>
      </c>
      <c r="M773" s="636">
        <f t="shared" si="362"/>
        <v>0</v>
      </c>
    </row>
    <row r="774" spans="1:13">
      <c r="A774" s="637">
        <v>1.05</v>
      </c>
      <c r="B774" s="315" t="s">
        <v>594</v>
      </c>
      <c r="C774" s="638">
        <v>12.594999999999999</v>
      </c>
      <c r="D774" s="639" t="s">
        <v>38</v>
      </c>
      <c r="E774" s="655">
        <v>8570.6154433428874</v>
      </c>
      <c r="F774" s="641">
        <f t="shared" si="358"/>
        <v>107946.90150890365</v>
      </c>
      <c r="G774" s="632"/>
      <c r="H774" s="632"/>
      <c r="I774" s="642">
        <f t="shared" si="359"/>
        <v>0</v>
      </c>
      <c r="J774" s="643">
        <f t="shared" si="360"/>
        <v>0</v>
      </c>
      <c r="K774" s="636"/>
      <c r="L774" s="636">
        <f t="shared" si="361"/>
        <v>0</v>
      </c>
      <c r="M774" s="636">
        <f t="shared" si="362"/>
        <v>0</v>
      </c>
    </row>
    <row r="775" spans="1:13">
      <c r="A775" s="637"/>
      <c r="B775" s="315"/>
      <c r="C775" s="638"/>
      <c r="D775" s="639"/>
      <c r="E775" s="655"/>
      <c r="F775" s="772">
        <f>+SUBTOTAL(9,F770:F774)</f>
        <v>371006.64823390363</v>
      </c>
      <c r="G775" s="632"/>
      <c r="H775" s="632"/>
      <c r="I775" s="642"/>
      <c r="J775" s="652"/>
      <c r="K775" s="657">
        <f>+SUBTOTAL(9,K770:K774)</f>
        <v>0</v>
      </c>
      <c r="L775" s="657">
        <f t="shared" ref="L775:M775" si="370">+SUBTOTAL(9,L770:L774)</f>
        <v>0</v>
      </c>
      <c r="M775" s="657">
        <f t="shared" si="370"/>
        <v>0</v>
      </c>
    </row>
    <row r="776" spans="1:13" s="779" customFormat="1">
      <c r="A776" s="628">
        <v>2</v>
      </c>
      <c r="B776" s="301" t="s">
        <v>595</v>
      </c>
      <c r="C776" s="774"/>
      <c r="D776" s="649"/>
      <c r="E776" s="775"/>
      <c r="F776" s="776"/>
      <c r="G776" s="777"/>
      <c r="H776" s="777"/>
      <c r="I776" s="780"/>
      <c r="J776" s="781"/>
      <c r="K776" s="778"/>
      <c r="L776" s="778"/>
      <c r="M776" s="778"/>
    </row>
    <row r="777" spans="1:13">
      <c r="A777" s="637">
        <v>2.0099999999999998</v>
      </c>
      <c r="B777" s="315" t="s">
        <v>596</v>
      </c>
      <c r="C777" s="638">
        <v>122.79</v>
      </c>
      <c r="D777" s="639" t="s">
        <v>189</v>
      </c>
      <c r="E777" s="655">
        <v>472.57999999999959</v>
      </c>
      <c r="F777" s="641">
        <f t="shared" si="358"/>
        <v>58028.098199999949</v>
      </c>
      <c r="G777" s="632"/>
      <c r="H777" s="632"/>
      <c r="I777" s="642">
        <f t="shared" si="359"/>
        <v>0</v>
      </c>
      <c r="J777" s="643">
        <f t="shared" si="360"/>
        <v>0</v>
      </c>
      <c r="K777" s="636"/>
      <c r="L777" s="636">
        <f t="shared" si="361"/>
        <v>0</v>
      </c>
      <c r="M777" s="636">
        <f t="shared" si="362"/>
        <v>0</v>
      </c>
    </row>
    <row r="778" spans="1:13">
      <c r="A778" s="637"/>
      <c r="B778" s="315"/>
      <c r="C778" s="638"/>
      <c r="D778" s="639"/>
      <c r="E778" s="655"/>
      <c r="F778" s="772">
        <f>+SUBTOTAL(9,F777)</f>
        <v>58028.098199999949</v>
      </c>
      <c r="G778" s="632"/>
      <c r="H778" s="632"/>
      <c r="I778" s="642"/>
      <c r="J778" s="652"/>
      <c r="K778" s="657">
        <f>+SUBTOTAL(9,K777)</f>
        <v>0</v>
      </c>
      <c r="L778" s="657">
        <f t="shared" ref="L778:M778" si="371">+SUBTOTAL(9,L777)</f>
        <v>0</v>
      </c>
      <c r="M778" s="657">
        <f t="shared" si="371"/>
        <v>0</v>
      </c>
    </row>
    <row r="779" spans="1:13" s="779" customFormat="1">
      <c r="A779" s="628">
        <v>3</v>
      </c>
      <c r="B779" s="301" t="s">
        <v>597</v>
      </c>
      <c r="C779" s="774"/>
      <c r="D779" s="649"/>
      <c r="E779" s="775"/>
      <c r="F779" s="776"/>
      <c r="G779" s="777"/>
      <c r="H779" s="777"/>
      <c r="I779" s="780"/>
      <c r="J779" s="781"/>
      <c r="K779" s="778"/>
      <c r="L779" s="778"/>
      <c r="M779" s="778"/>
    </row>
    <row r="780" spans="1:13">
      <c r="A780" s="637">
        <v>3.01</v>
      </c>
      <c r="B780" s="315" t="s">
        <v>598</v>
      </c>
      <c r="C780" s="638">
        <v>1173.9499999999998</v>
      </c>
      <c r="D780" s="639" t="s">
        <v>189</v>
      </c>
      <c r="E780" s="655">
        <v>44.699999999999996</v>
      </c>
      <c r="F780" s="641">
        <f t="shared" si="358"/>
        <v>52475.564999999988</v>
      </c>
      <c r="G780" s="632"/>
      <c r="H780" s="632"/>
      <c r="I780" s="642">
        <f t="shared" si="359"/>
        <v>0</v>
      </c>
      <c r="J780" s="643">
        <f t="shared" si="360"/>
        <v>0</v>
      </c>
      <c r="K780" s="636"/>
      <c r="L780" s="636">
        <f t="shared" si="361"/>
        <v>0</v>
      </c>
      <c r="M780" s="636">
        <f t="shared" si="362"/>
        <v>0</v>
      </c>
    </row>
    <row r="781" spans="1:13" ht="26.25">
      <c r="A781" s="637">
        <v>3.0199999999999996</v>
      </c>
      <c r="B781" s="315" t="s">
        <v>599</v>
      </c>
      <c r="C781" s="638">
        <v>245.58</v>
      </c>
      <c r="D781" s="639" t="s">
        <v>189</v>
      </c>
      <c r="E781" s="655">
        <v>297.65000000000003</v>
      </c>
      <c r="F781" s="641">
        <f t="shared" si="358"/>
        <v>73096.887000000017</v>
      </c>
      <c r="G781" s="632"/>
      <c r="H781" s="632"/>
      <c r="I781" s="642">
        <f t="shared" si="359"/>
        <v>0</v>
      </c>
      <c r="J781" s="643">
        <f t="shared" si="360"/>
        <v>0</v>
      </c>
      <c r="K781" s="636"/>
      <c r="L781" s="636">
        <f t="shared" si="361"/>
        <v>0</v>
      </c>
      <c r="M781" s="636">
        <f t="shared" si="362"/>
        <v>0</v>
      </c>
    </row>
    <row r="782" spans="1:13">
      <c r="A782" s="637">
        <v>3.0299999999999994</v>
      </c>
      <c r="B782" s="315" t="s">
        <v>600</v>
      </c>
      <c r="C782" s="638">
        <v>27</v>
      </c>
      <c r="D782" s="639" t="s">
        <v>30</v>
      </c>
      <c r="E782" s="655">
        <v>156.08999999999995</v>
      </c>
      <c r="F782" s="641">
        <f t="shared" si="358"/>
        <v>4214.4299999999985</v>
      </c>
      <c r="G782" s="632"/>
      <c r="H782" s="632"/>
      <c r="I782" s="642">
        <f t="shared" si="359"/>
        <v>0</v>
      </c>
      <c r="J782" s="643">
        <f t="shared" si="360"/>
        <v>0</v>
      </c>
      <c r="K782" s="636"/>
      <c r="L782" s="636">
        <f t="shared" si="361"/>
        <v>0</v>
      </c>
      <c r="M782" s="636">
        <f t="shared" si="362"/>
        <v>0</v>
      </c>
    </row>
    <row r="783" spans="1:13">
      <c r="A783" s="637"/>
      <c r="B783" s="315"/>
      <c r="C783" s="638"/>
      <c r="D783" s="639"/>
      <c r="E783" s="655"/>
      <c r="F783" s="772">
        <f>+SUBTOTAL(9,F780:F782)</f>
        <v>129786.882</v>
      </c>
      <c r="G783" s="632"/>
      <c r="H783" s="632"/>
      <c r="I783" s="642"/>
      <c r="J783" s="652"/>
      <c r="K783" s="657">
        <f>+SUBTOTAL(9,K780:K782)</f>
        <v>0</v>
      </c>
      <c r="L783" s="657">
        <f t="shared" ref="L783:M783" si="372">+SUBTOTAL(9,L780:L782)</f>
        <v>0</v>
      </c>
      <c r="M783" s="657">
        <f t="shared" si="372"/>
        <v>0</v>
      </c>
    </row>
    <row r="784" spans="1:13" s="779" customFormat="1">
      <c r="A784" s="628">
        <v>4</v>
      </c>
      <c r="B784" s="301" t="s">
        <v>675</v>
      </c>
      <c r="C784" s="774"/>
      <c r="D784" s="649"/>
      <c r="E784" s="775"/>
      <c r="F784" s="776"/>
      <c r="G784" s="777"/>
      <c r="H784" s="777"/>
      <c r="I784" s="780"/>
      <c r="J784" s="781"/>
      <c r="K784" s="778"/>
      <c r="L784" s="778"/>
      <c r="M784" s="778"/>
    </row>
    <row r="785" spans="1:13">
      <c r="A785" s="637">
        <v>4.01</v>
      </c>
      <c r="B785" s="315" t="s">
        <v>676</v>
      </c>
      <c r="C785" s="638">
        <v>32</v>
      </c>
      <c r="D785" s="639" t="s">
        <v>189</v>
      </c>
      <c r="E785" s="655">
        <v>4567.0950000000003</v>
      </c>
      <c r="F785" s="641">
        <f t="shared" si="358"/>
        <v>146147.04</v>
      </c>
      <c r="G785" s="632"/>
      <c r="H785" s="632"/>
      <c r="I785" s="642">
        <f t="shared" si="359"/>
        <v>0</v>
      </c>
      <c r="J785" s="643">
        <f t="shared" si="360"/>
        <v>0</v>
      </c>
      <c r="K785" s="636"/>
      <c r="L785" s="636">
        <f t="shared" si="361"/>
        <v>0</v>
      </c>
      <c r="M785" s="636">
        <f t="shared" si="362"/>
        <v>0</v>
      </c>
    </row>
    <row r="786" spans="1:13">
      <c r="A786" s="637">
        <v>4.0199999999999996</v>
      </c>
      <c r="B786" s="315" t="s">
        <v>603</v>
      </c>
      <c r="C786" s="638">
        <v>2.6</v>
      </c>
      <c r="D786" s="639" t="s">
        <v>189</v>
      </c>
      <c r="E786" s="655">
        <v>4617.0950000000003</v>
      </c>
      <c r="F786" s="641">
        <f t="shared" si="358"/>
        <v>12004.447000000002</v>
      </c>
      <c r="G786" s="632"/>
      <c r="H786" s="632"/>
      <c r="I786" s="642">
        <f t="shared" si="359"/>
        <v>0</v>
      </c>
      <c r="J786" s="643">
        <f t="shared" si="360"/>
        <v>0</v>
      </c>
      <c r="K786" s="636"/>
      <c r="L786" s="636">
        <f t="shared" si="361"/>
        <v>0</v>
      </c>
      <c r="M786" s="636">
        <f t="shared" si="362"/>
        <v>0</v>
      </c>
    </row>
    <row r="787" spans="1:13">
      <c r="A787" s="637">
        <v>4.0299999999999994</v>
      </c>
      <c r="B787" s="315" t="s">
        <v>604</v>
      </c>
      <c r="C787" s="638">
        <v>891.14319999999987</v>
      </c>
      <c r="D787" s="639" t="s">
        <v>605</v>
      </c>
      <c r="E787" s="655">
        <v>649</v>
      </c>
      <c r="F787" s="641">
        <f t="shared" ref="F787:F848" si="373">+E787*C787</f>
        <v>578351.93679999991</v>
      </c>
      <c r="G787" s="632"/>
      <c r="H787" s="632"/>
      <c r="I787" s="642">
        <f t="shared" ref="I787:I848" si="374">+H787+G787</f>
        <v>0</v>
      </c>
      <c r="J787" s="643">
        <f t="shared" ref="J787:J848" si="375">I787/C787</f>
        <v>0</v>
      </c>
      <c r="K787" s="636"/>
      <c r="L787" s="636">
        <f t="shared" ref="L787:L848" si="376">+H787*E787</f>
        <v>0</v>
      </c>
      <c r="M787" s="636">
        <f t="shared" ref="M787:M848" si="377">K787+L787</f>
        <v>0</v>
      </c>
    </row>
    <row r="788" spans="1:13">
      <c r="A788" s="637">
        <v>4.0399999999999991</v>
      </c>
      <c r="B788" s="315" t="s">
        <v>606</v>
      </c>
      <c r="C788" s="638">
        <v>197.91</v>
      </c>
      <c r="D788" s="639" t="s">
        <v>189</v>
      </c>
      <c r="E788" s="655">
        <v>6983.24</v>
      </c>
      <c r="F788" s="641">
        <f t="shared" si="373"/>
        <v>1382053.0284</v>
      </c>
      <c r="G788" s="632"/>
      <c r="H788" s="632"/>
      <c r="I788" s="642">
        <f t="shared" si="374"/>
        <v>0</v>
      </c>
      <c r="J788" s="643">
        <f t="shared" si="375"/>
        <v>0</v>
      </c>
      <c r="K788" s="636"/>
      <c r="L788" s="636">
        <f t="shared" si="376"/>
        <v>0</v>
      </c>
      <c r="M788" s="636">
        <f t="shared" si="377"/>
        <v>0</v>
      </c>
    </row>
    <row r="789" spans="1:13">
      <c r="A789" s="637">
        <v>4.0499999999999989</v>
      </c>
      <c r="B789" s="315" t="s">
        <v>607</v>
      </c>
      <c r="C789" s="638">
        <v>8</v>
      </c>
      <c r="D789" s="639" t="s">
        <v>189</v>
      </c>
      <c r="E789" s="655">
        <v>798.3881138392851</v>
      </c>
      <c r="F789" s="641">
        <f t="shared" si="373"/>
        <v>6387.1049107142808</v>
      </c>
      <c r="G789" s="632"/>
      <c r="H789" s="632"/>
      <c r="I789" s="642">
        <f t="shared" si="374"/>
        <v>0</v>
      </c>
      <c r="J789" s="643">
        <f t="shared" si="375"/>
        <v>0</v>
      </c>
      <c r="K789" s="636"/>
      <c r="L789" s="636">
        <f t="shared" si="376"/>
        <v>0</v>
      </c>
      <c r="M789" s="636">
        <f t="shared" si="377"/>
        <v>0</v>
      </c>
    </row>
    <row r="790" spans="1:13">
      <c r="A790" s="637">
        <v>4.0599999999999987</v>
      </c>
      <c r="B790" s="315" t="s">
        <v>608</v>
      </c>
      <c r="C790" s="638">
        <v>35</v>
      </c>
      <c r="D790" s="639" t="s">
        <v>189</v>
      </c>
      <c r="E790" s="655">
        <v>145.2730241672111</v>
      </c>
      <c r="F790" s="641">
        <f t="shared" si="373"/>
        <v>5084.5558458523883</v>
      </c>
      <c r="G790" s="632"/>
      <c r="H790" s="632"/>
      <c r="I790" s="642">
        <f t="shared" si="374"/>
        <v>0</v>
      </c>
      <c r="J790" s="643">
        <f t="shared" si="375"/>
        <v>0</v>
      </c>
      <c r="K790" s="636"/>
      <c r="L790" s="636">
        <f t="shared" si="376"/>
        <v>0</v>
      </c>
      <c r="M790" s="636">
        <f t="shared" si="377"/>
        <v>0</v>
      </c>
    </row>
    <row r="791" spans="1:13">
      <c r="A791" s="637"/>
      <c r="B791" s="315"/>
      <c r="C791" s="638"/>
      <c r="D791" s="639"/>
      <c r="E791" s="655"/>
      <c r="F791" s="772">
        <f>+SUBTOTAL(9,F785:F790)</f>
        <v>2130028.1129565667</v>
      </c>
      <c r="G791" s="632"/>
      <c r="H791" s="632"/>
      <c r="I791" s="642"/>
      <c r="J791" s="652"/>
      <c r="K791" s="657">
        <f>+SUBTOTAL(9,K785:K790)</f>
        <v>0</v>
      </c>
      <c r="L791" s="657">
        <f t="shared" ref="L791:M791" si="378">+SUBTOTAL(9,L785:L790)</f>
        <v>0</v>
      </c>
      <c r="M791" s="657">
        <f t="shared" si="378"/>
        <v>0</v>
      </c>
    </row>
    <row r="792" spans="1:13" s="779" customFormat="1">
      <c r="A792" s="628">
        <v>5</v>
      </c>
      <c r="B792" s="301" t="s">
        <v>609</v>
      </c>
      <c r="C792" s="774"/>
      <c r="D792" s="649"/>
      <c r="E792" s="775"/>
      <c r="F792" s="776"/>
      <c r="G792" s="777"/>
      <c r="H792" s="777"/>
      <c r="I792" s="780"/>
      <c r="J792" s="781"/>
      <c r="K792" s="778"/>
      <c r="L792" s="778"/>
      <c r="M792" s="778"/>
    </row>
    <row r="793" spans="1:13">
      <c r="A793" s="637">
        <v>5.01</v>
      </c>
      <c r="B793" s="315" t="s">
        <v>610</v>
      </c>
      <c r="C793" s="638">
        <v>458</v>
      </c>
      <c r="D793" s="639" t="s">
        <v>189</v>
      </c>
      <c r="E793" s="655">
        <v>4565.335</v>
      </c>
      <c r="F793" s="641">
        <f t="shared" si="373"/>
        <v>2090923.43</v>
      </c>
      <c r="G793" s="632"/>
      <c r="H793" s="632"/>
      <c r="I793" s="642">
        <f t="shared" si="374"/>
        <v>0</v>
      </c>
      <c r="J793" s="643">
        <f t="shared" si="375"/>
        <v>0</v>
      </c>
      <c r="K793" s="636"/>
      <c r="L793" s="636">
        <f t="shared" si="376"/>
        <v>0</v>
      </c>
      <c r="M793" s="636">
        <f t="shared" si="377"/>
        <v>0</v>
      </c>
    </row>
    <row r="794" spans="1:13">
      <c r="A794" s="637">
        <v>5.0199999999999996</v>
      </c>
      <c r="B794" s="315" t="s">
        <v>611</v>
      </c>
      <c r="C794" s="638">
        <v>110.78</v>
      </c>
      <c r="D794" s="639" t="s">
        <v>30</v>
      </c>
      <c r="E794" s="655">
        <v>554.64480000000003</v>
      </c>
      <c r="F794" s="641">
        <f t="shared" si="373"/>
        <v>61443.550944000002</v>
      </c>
      <c r="G794" s="632"/>
      <c r="H794" s="632"/>
      <c r="I794" s="642">
        <f t="shared" si="374"/>
        <v>0</v>
      </c>
      <c r="J794" s="643">
        <f t="shared" si="375"/>
        <v>0</v>
      </c>
      <c r="K794" s="636"/>
      <c r="L794" s="636">
        <f t="shared" si="376"/>
        <v>0</v>
      </c>
      <c r="M794" s="636">
        <f t="shared" si="377"/>
        <v>0</v>
      </c>
    </row>
    <row r="795" spans="1:13">
      <c r="A795" s="637">
        <v>5.0299999999999994</v>
      </c>
      <c r="B795" s="315" t="s">
        <v>677</v>
      </c>
      <c r="C795" s="638">
        <v>35</v>
      </c>
      <c r="D795" s="639" t="s">
        <v>189</v>
      </c>
      <c r="E795" s="655">
        <v>4417.415</v>
      </c>
      <c r="F795" s="641">
        <f t="shared" si="373"/>
        <v>154609.52499999999</v>
      </c>
      <c r="G795" s="632"/>
      <c r="H795" s="632"/>
      <c r="I795" s="642">
        <f t="shared" si="374"/>
        <v>0</v>
      </c>
      <c r="J795" s="643">
        <f t="shared" si="375"/>
        <v>0</v>
      </c>
      <c r="K795" s="636"/>
      <c r="L795" s="636">
        <f t="shared" si="376"/>
        <v>0</v>
      </c>
      <c r="M795" s="636">
        <f t="shared" si="377"/>
        <v>0</v>
      </c>
    </row>
    <row r="796" spans="1:13">
      <c r="A796" s="637"/>
      <c r="B796" s="315"/>
      <c r="C796" s="638"/>
      <c r="D796" s="639"/>
      <c r="E796" s="655"/>
      <c r="F796" s="772">
        <f>+SUBTOTAL(9,F793:F795)</f>
        <v>2306976.5059439996</v>
      </c>
      <c r="G796" s="632"/>
      <c r="H796" s="632"/>
      <c r="I796" s="642"/>
      <c r="J796" s="652"/>
      <c r="K796" s="657">
        <f>+SUBTOTAL(9,K793:K795)</f>
        <v>0</v>
      </c>
      <c r="L796" s="657">
        <f t="shared" ref="L796:M796" si="379">+SUBTOTAL(9,L793:L795)</f>
        <v>0</v>
      </c>
      <c r="M796" s="657">
        <f t="shared" si="379"/>
        <v>0</v>
      </c>
    </row>
    <row r="797" spans="1:13" s="779" customFormat="1">
      <c r="A797" s="628">
        <v>6</v>
      </c>
      <c r="B797" s="301" t="s">
        <v>613</v>
      </c>
      <c r="C797" s="774"/>
      <c r="D797" s="649"/>
      <c r="E797" s="775"/>
      <c r="F797" s="776"/>
      <c r="G797" s="777"/>
      <c r="H797" s="777"/>
      <c r="I797" s="780"/>
      <c r="J797" s="781"/>
      <c r="K797" s="778"/>
      <c r="L797" s="778"/>
      <c r="M797" s="778"/>
    </row>
    <row r="798" spans="1:13" ht="26.25">
      <c r="A798" s="637">
        <v>6.01</v>
      </c>
      <c r="B798" s="315" t="s">
        <v>614</v>
      </c>
      <c r="C798" s="638">
        <v>1</v>
      </c>
      <c r="D798" s="639" t="s">
        <v>32</v>
      </c>
      <c r="E798" s="655">
        <v>49140.664499999977</v>
      </c>
      <c r="F798" s="641">
        <f t="shared" si="373"/>
        <v>49140.664499999977</v>
      </c>
      <c r="G798" s="632"/>
      <c r="H798" s="632"/>
      <c r="I798" s="642">
        <f t="shared" si="374"/>
        <v>0</v>
      </c>
      <c r="J798" s="643">
        <f t="shared" si="375"/>
        <v>0</v>
      </c>
      <c r="K798" s="636"/>
      <c r="L798" s="636">
        <f t="shared" si="376"/>
        <v>0</v>
      </c>
      <c r="M798" s="636">
        <f t="shared" si="377"/>
        <v>0</v>
      </c>
    </row>
    <row r="799" spans="1:13">
      <c r="A799" s="637">
        <v>6.02</v>
      </c>
      <c r="B799" s="315" t="s">
        <v>678</v>
      </c>
      <c r="C799" s="638">
        <v>3</v>
      </c>
      <c r="D799" s="639" t="s">
        <v>32</v>
      </c>
      <c r="E799" s="655">
        <v>11151.356099999999</v>
      </c>
      <c r="F799" s="641">
        <f t="shared" si="373"/>
        <v>33454.068299999999</v>
      </c>
      <c r="G799" s="632"/>
      <c r="H799" s="632"/>
      <c r="I799" s="642">
        <f t="shared" si="374"/>
        <v>0</v>
      </c>
      <c r="J799" s="643">
        <f t="shared" si="375"/>
        <v>0</v>
      </c>
      <c r="K799" s="636"/>
      <c r="L799" s="636">
        <f t="shared" si="376"/>
        <v>0</v>
      </c>
      <c r="M799" s="636">
        <f t="shared" si="377"/>
        <v>0</v>
      </c>
    </row>
    <row r="800" spans="1:13">
      <c r="A800" s="637">
        <v>6.0299999999999994</v>
      </c>
      <c r="B800" s="315" t="s">
        <v>679</v>
      </c>
      <c r="C800" s="638">
        <v>5</v>
      </c>
      <c r="D800" s="639" t="s">
        <v>32</v>
      </c>
      <c r="E800" s="655">
        <v>21224.215700000001</v>
      </c>
      <c r="F800" s="641">
        <f t="shared" si="373"/>
        <v>106121.0785</v>
      </c>
      <c r="G800" s="632"/>
      <c r="H800" s="632"/>
      <c r="I800" s="642">
        <f t="shared" si="374"/>
        <v>0</v>
      </c>
      <c r="J800" s="643">
        <f t="shared" si="375"/>
        <v>0</v>
      </c>
      <c r="K800" s="636"/>
      <c r="L800" s="636">
        <f t="shared" si="376"/>
        <v>0</v>
      </c>
      <c r="M800" s="636">
        <f t="shared" si="377"/>
        <v>0</v>
      </c>
    </row>
    <row r="801" spans="1:13">
      <c r="A801" s="637"/>
      <c r="B801" s="315"/>
      <c r="C801" s="638"/>
      <c r="D801" s="639"/>
      <c r="E801" s="655"/>
      <c r="F801" s="772">
        <f>+SUBTOTAL(9,F798:F800)</f>
        <v>188715.81129999997</v>
      </c>
      <c r="G801" s="632"/>
      <c r="H801" s="632"/>
      <c r="I801" s="642"/>
      <c r="J801" s="652"/>
      <c r="K801" s="657">
        <f>+SUBTOTAL(9,K798:K800)</f>
        <v>0</v>
      </c>
      <c r="L801" s="657">
        <f t="shared" ref="L801:M801" si="380">+SUBTOTAL(9,L798:L800)</f>
        <v>0</v>
      </c>
      <c r="M801" s="657">
        <f t="shared" si="380"/>
        <v>0</v>
      </c>
    </row>
    <row r="802" spans="1:13" s="779" customFormat="1">
      <c r="A802" s="628">
        <v>7</v>
      </c>
      <c r="B802" s="301" t="s">
        <v>617</v>
      </c>
      <c r="C802" s="774"/>
      <c r="D802" s="649"/>
      <c r="E802" s="775"/>
      <c r="F802" s="776"/>
      <c r="G802" s="777"/>
      <c r="H802" s="777"/>
      <c r="I802" s="780"/>
      <c r="J802" s="781"/>
      <c r="K802" s="778"/>
      <c r="L802" s="778"/>
      <c r="M802" s="778"/>
    </row>
    <row r="803" spans="1:13" ht="26.25">
      <c r="A803" s="637">
        <v>7.01</v>
      </c>
      <c r="B803" s="315" t="s">
        <v>618</v>
      </c>
      <c r="C803" s="638">
        <v>10.34</v>
      </c>
      <c r="D803" s="639" t="s">
        <v>605</v>
      </c>
      <c r="E803" s="655">
        <v>474.94999999999987</v>
      </c>
      <c r="F803" s="641">
        <f t="shared" si="373"/>
        <v>4910.9829999999984</v>
      </c>
      <c r="G803" s="632"/>
      <c r="H803" s="632"/>
      <c r="I803" s="642">
        <f t="shared" si="374"/>
        <v>0</v>
      </c>
      <c r="J803" s="643">
        <f t="shared" si="375"/>
        <v>0</v>
      </c>
      <c r="K803" s="636"/>
      <c r="L803" s="636">
        <f t="shared" si="376"/>
        <v>0</v>
      </c>
      <c r="M803" s="636">
        <f t="shared" si="377"/>
        <v>0</v>
      </c>
    </row>
    <row r="804" spans="1:13">
      <c r="A804" s="637"/>
      <c r="B804" s="315"/>
      <c r="C804" s="638"/>
      <c r="D804" s="639"/>
      <c r="E804" s="655"/>
      <c r="F804" s="772">
        <f>+SUBTOTAL(9,F803)</f>
        <v>4910.9829999999984</v>
      </c>
      <c r="G804" s="632"/>
      <c r="H804" s="632"/>
      <c r="I804" s="642"/>
      <c r="J804" s="652"/>
      <c r="K804" s="657">
        <f>+SUBTOTAL(9,K803)</f>
        <v>0</v>
      </c>
      <c r="L804" s="657">
        <f t="shared" ref="L804:M804" si="381">+SUBTOTAL(9,L803)</f>
        <v>0</v>
      </c>
      <c r="M804" s="657">
        <f t="shared" si="381"/>
        <v>0</v>
      </c>
    </row>
    <row r="805" spans="1:13" s="779" customFormat="1">
      <c r="A805" s="628">
        <v>8</v>
      </c>
      <c r="B805" s="301" t="s">
        <v>274</v>
      </c>
      <c r="C805" s="774"/>
      <c r="D805" s="649"/>
      <c r="E805" s="775"/>
      <c r="F805" s="776"/>
      <c r="G805" s="777"/>
      <c r="H805" s="777"/>
      <c r="I805" s="780"/>
      <c r="J805" s="781"/>
      <c r="K805" s="778"/>
      <c r="L805" s="778"/>
      <c r="M805" s="778"/>
    </row>
    <row r="806" spans="1:13">
      <c r="A806" s="637">
        <v>8.01</v>
      </c>
      <c r="B806" s="315" t="s">
        <v>619</v>
      </c>
      <c r="C806" s="638">
        <v>17</v>
      </c>
      <c r="D806" s="639" t="s">
        <v>30</v>
      </c>
      <c r="E806" s="655">
        <v>319.56110000000029</v>
      </c>
      <c r="F806" s="641">
        <f t="shared" si="373"/>
        <v>5432.5387000000046</v>
      </c>
      <c r="G806" s="632"/>
      <c r="H806" s="632"/>
      <c r="I806" s="642">
        <f t="shared" si="374"/>
        <v>0</v>
      </c>
      <c r="J806" s="643">
        <f t="shared" si="375"/>
        <v>0</v>
      </c>
      <c r="K806" s="636"/>
      <c r="L806" s="636">
        <f t="shared" si="376"/>
        <v>0</v>
      </c>
      <c r="M806" s="636">
        <f t="shared" si="377"/>
        <v>0</v>
      </c>
    </row>
    <row r="807" spans="1:13">
      <c r="A807" s="637">
        <v>8.02</v>
      </c>
      <c r="B807" s="315" t="s">
        <v>620</v>
      </c>
      <c r="C807" s="638">
        <v>4</v>
      </c>
      <c r="D807" s="639" t="s">
        <v>189</v>
      </c>
      <c r="E807" s="655">
        <v>4565.335</v>
      </c>
      <c r="F807" s="641">
        <f t="shared" si="373"/>
        <v>18261.34</v>
      </c>
      <c r="G807" s="632"/>
      <c r="H807" s="632"/>
      <c r="I807" s="642">
        <f t="shared" si="374"/>
        <v>0</v>
      </c>
      <c r="J807" s="643">
        <f t="shared" si="375"/>
        <v>0</v>
      </c>
      <c r="K807" s="636"/>
      <c r="L807" s="636">
        <f t="shared" si="376"/>
        <v>0</v>
      </c>
      <c r="M807" s="636">
        <f t="shared" si="377"/>
        <v>0</v>
      </c>
    </row>
    <row r="808" spans="1:13">
      <c r="A808" s="637"/>
      <c r="B808" s="315"/>
      <c r="C808" s="638"/>
      <c r="D808" s="639"/>
      <c r="E808" s="655"/>
      <c r="F808" s="772">
        <f>+SUBTOTAL(9,F806:F807)</f>
        <v>23693.878700000005</v>
      </c>
      <c r="G808" s="632"/>
      <c r="H808" s="632"/>
      <c r="I808" s="642"/>
      <c r="J808" s="652"/>
      <c r="K808" s="657">
        <f>+SUBTOTAL(9,K806:K807)</f>
        <v>0</v>
      </c>
      <c r="L808" s="657">
        <f t="shared" ref="L808:M808" si="382">+SUBTOTAL(9,L806:L807)</f>
        <v>0</v>
      </c>
      <c r="M808" s="657">
        <f t="shared" si="382"/>
        <v>0</v>
      </c>
    </row>
    <row r="809" spans="1:13" s="779" customFormat="1">
      <c r="A809" s="628">
        <v>9</v>
      </c>
      <c r="B809" s="301" t="s">
        <v>691</v>
      </c>
      <c r="C809" s="774"/>
      <c r="D809" s="649"/>
      <c r="E809" s="775"/>
      <c r="F809" s="776"/>
      <c r="G809" s="777"/>
      <c r="H809" s="777"/>
      <c r="I809" s="780"/>
      <c r="J809" s="781"/>
      <c r="K809" s="778"/>
      <c r="L809" s="778"/>
      <c r="M809" s="778"/>
    </row>
    <row r="810" spans="1:13">
      <c r="A810" s="637">
        <v>9.01</v>
      </c>
      <c r="B810" s="315" t="s">
        <v>622</v>
      </c>
      <c r="C810" s="638">
        <v>1585.32</v>
      </c>
      <c r="D810" s="639" t="s">
        <v>189</v>
      </c>
      <c r="E810" s="655">
        <v>434.53999999999991</v>
      </c>
      <c r="F810" s="641">
        <f t="shared" si="373"/>
        <v>688884.95279999985</v>
      </c>
      <c r="G810" s="632"/>
      <c r="H810" s="632"/>
      <c r="I810" s="642">
        <f t="shared" si="374"/>
        <v>0</v>
      </c>
      <c r="J810" s="643">
        <f t="shared" si="375"/>
        <v>0</v>
      </c>
      <c r="K810" s="636"/>
      <c r="L810" s="636">
        <f t="shared" si="376"/>
        <v>0</v>
      </c>
      <c r="M810" s="636">
        <f t="shared" si="377"/>
        <v>0</v>
      </c>
    </row>
    <row r="811" spans="1:13">
      <c r="A811" s="637"/>
      <c r="B811" s="315"/>
      <c r="C811" s="638"/>
      <c r="D811" s="639"/>
      <c r="E811" s="655"/>
      <c r="F811" s="772">
        <f>+SUBTOTAL(9,F810)</f>
        <v>688884.95279999985</v>
      </c>
      <c r="G811" s="632"/>
      <c r="H811" s="632"/>
      <c r="I811" s="642"/>
      <c r="J811" s="652"/>
      <c r="K811" s="657">
        <f>+SUBTOTAL(9,K810)</f>
        <v>0</v>
      </c>
      <c r="L811" s="657">
        <f t="shared" ref="L811:M811" si="383">+SUBTOTAL(9,L810)</f>
        <v>0</v>
      </c>
      <c r="M811" s="657">
        <f t="shared" si="383"/>
        <v>0</v>
      </c>
    </row>
    <row r="812" spans="1:13" s="779" customFormat="1">
      <c r="A812" s="628">
        <v>10</v>
      </c>
      <c r="B812" s="301" t="s">
        <v>623</v>
      </c>
      <c r="C812" s="774"/>
      <c r="D812" s="649"/>
      <c r="E812" s="775"/>
      <c r="F812" s="776"/>
      <c r="G812" s="777"/>
      <c r="H812" s="777"/>
      <c r="I812" s="780"/>
      <c r="J812" s="781"/>
      <c r="K812" s="778"/>
      <c r="L812" s="778"/>
      <c r="M812" s="778"/>
    </row>
    <row r="813" spans="1:13">
      <c r="A813" s="637">
        <v>10.01</v>
      </c>
      <c r="B813" s="315" t="s">
        <v>624</v>
      </c>
      <c r="C813" s="638"/>
      <c r="D813" s="639"/>
      <c r="E813" s="655"/>
      <c r="F813" s="641"/>
      <c r="G813" s="632"/>
      <c r="H813" s="632"/>
      <c r="I813" s="642"/>
      <c r="J813" s="643"/>
      <c r="K813" s="636"/>
      <c r="L813" s="636"/>
      <c r="M813" s="636"/>
    </row>
    <row r="814" spans="1:13">
      <c r="A814" s="637" t="s">
        <v>687</v>
      </c>
      <c r="B814" s="315" t="s">
        <v>625</v>
      </c>
      <c r="C814" s="638">
        <v>5.3999999999999995</v>
      </c>
      <c r="D814" s="639" t="s">
        <v>189</v>
      </c>
      <c r="E814" s="655">
        <v>2050.4444444444448</v>
      </c>
      <c r="F814" s="641">
        <f t="shared" si="373"/>
        <v>11072.400000000001</v>
      </c>
      <c r="G814" s="632"/>
      <c r="H814" s="632"/>
      <c r="I814" s="642">
        <f t="shared" si="374"/>
        <v>0</v>
      </c>
      <c r="J814" s="643">
        <f t="shared" si="375"/>
        <v>0</v>
      </c>
      <c r="K814" s="636"/>
      <c r="L814" s="636">
        <f t="shared" si="376"/>
        <v>0</v>
      </c>
      <c r="M814" s="636">
        <f t="shared" si="377"/>
        <v>0</v>
      </c>
    </row>
    <row r="815" spans="1:13">
      <c r="A815" s="637" t="s">
        <v>670</v>
      </c>
      <c r="B815" s="315" t="s">
        <v>626</v>
      </c>
      <c r="C815" s="638">
        <v>6</v>
      </c>
      <c r="D815" s="639" t="s">
        <v>32</v>
      </c>
      <c r="E815" s="655">
        <v>3209.1899999999973</v>
      </c>
      <c r="F815" s="641">
        <f t="shared" si="373"/>
        <v>19255.139999999985</v>
      </c>
      <c r="G815" s="632"/>
      <c r="H815" s="632"/>
      <c r="I815" s="642">
        <f t="shared" si="374"/>
        <v>0</v>
      </c>
      <c r="J815" s="643">
        <f t="shared" si="375"/>
        <v>0</v>
      </c>
      <c r="K815" s="636"/>
      <c r="L815" s="636">
        <f t="shared" si="376"/>
        <v>0</v>
      </c>
      <c r="M815" s="636">
        <f t="shared" si="377"/>
        <v>0</v>
      </c>
    </row>
    <row r="816" spans="1:13">
      <c r="A816" s="637" t="s">
        <v>671</v>
      </c>
      <c r="B816" s="315" t="s">
        <v>627</v>
      </c>
      <c r="C816" s="638">
        <v>8</v>
      </c>
      <c r="D816" s="639" t="s">
        <v>32</v>
      </c>
      <c r="E816" s="655">
        <v>8421.9799999999977</v>
      </c>
      <c r="F816" s="641">
        <f t="shared" si="373"/>
        <v>67375.839999999982</v>
      </c>
      <c r="G816" s="632"/>
      <c r="H816" s="632"/>
      <c r="I816" s="642">
        <f t="shared" si="374"/>
        <v>0</v>
      </c>
      <c r="J816" s="643">
        <f t="shared" si="375"/>
        <v>0</v>
      </c>
      <c r="K816" s="636"/>
      <c r="L816" s="636">
        <f t="shared" si="376"/>
        <v>0</v>
      </c>
      <c r="M816" s="636">
        <f t="shared" si="377"/>
        <v>0</v>
      </c>
    </row>
    <row r="817" spans="1:13">
      <c r="A817" s="637" t="s">
        <v>672</v>
      </c>
      <c r="B817" s="315" t="s">
        <v>673</v>
      </c>
      <c r="C817" s="638">
        <v>2</v>
      </c>
      <c r="D817" s="639" t="s">
        <v>32</v>
      </c>
      <c r="E817" s="655">
        <v>1117.73</v>
      </c>
      <c r="F817" s="641">
        <f t="shared" si="373"/>
        <v>2235.46</v>
      </c>
      <c r="G817" s="632"/>
      <c r="H817" s="632"/>
      <c r="I817" s="642">
        <f t="shared" si="374"/>
        <v>0</v>
      </c>
      <c r="J817" s="643">
        <f t="shared" si="375"/>
        <v>0</v>
      </c>
      <c r="K817" s="636"/>
      <c r="L817" s="636">
        <f t="shared" si="376"/>
        <v>0</v>
      </c>
      <c r="M817" s="636">
        <f t="shared" si="377"/>
        <v>0</v>
      </c>
    </row>
    <row r="818" spans="1:13">
      <c r="A818" s="637" t="s">
        <v>680</v>
      </c>
      <c r="B818" s="315" t="s">
        <v>629</v>
      </c>
      <c r="C818" s="638">
        <v>2</v>
      </c>
      <c r="D818" s="639" t="s">
        <v>32</v>
      </c>
      <c r="E818" s="655">
        <v>7155.7100000000009</v>
      </c>
      <c r="F818" s="641">
        <f t="shared" si="373"/>
        <v>14311.420000000002</v>
      </c>
      <c r="G818" s="632"/>
      <c r="H818" s="632"/>
      <c r="I818" s="642">
        <f t="shared" si="374"/>
        <v>0</v>
      </c>
      <c r="J818" s="643">
        <f t="shared" si="375"/>
        <v>0</v>
      </c>
      <c r="K818" s="636"/>
      <c r="L818" s="636">
        <f t="shared" si="376"/>
        <v>0</v>
      </c>
      <c r="M818" s="636">
        <f t="shared" si="377"/>
        <v>0</v>
      </c>
    </row>
    <row r="819" spans="1:13">
      <c r="A819" s="637" t="s">
        <v>681</v>
      </c>
      <c r="B819" s="315" t="s">
        <v>688</v>
      </c>
      <c r="C819" s="638">
        <v>1</v>
      </c>
      <c r="D819" s="639" t="s">
        <v>32</v>
      </c>
      <c r="E819" s="655">
        <v>716.60999999999967</v>
      </c>
      <c r="F819" s="641">
        <f t="shared" si="373"/>
        <v>716.60999999999967</v>
      </c>
      <c r="G819" s="632"/>
      <c r="H819" s="632"/>
      <c r="I819" s="642">
        <f t="shared" si="374"/>
        <v>0</v>
      </c>
      <c r="J819" s="643">
        <f t="shared" si="375"/>
        <v>0</v>
      </c>
      <c r="K819" s="636"/>
      <c r="L819" s="636">
        <f t="shared" si="376"/>
        <v>0</v>
      </c>
      <c r="M819" s="636">
        <f t="shared" si="377"/>
        <v>0</v>
      </c>
    </row>
    <row r="820" spans="1:13">
      <c r="A820" s="637" t="s">
        <v>693</v>
      </c>
      <c r="B820" s="315" t="s">
        <v>631</v>
      </c>
      <c r="C820" s="638">
        <v>1</v>
      </c>
      <c r="D820" s="639" t="s">
        <v>88</v>
      </c>
      <c r="E820" s="655">
        <v>112800</v>
      </c>
      <c r="F820" s="641">
        <f t="shared" si="373"/>
        <v>112800</v>
      </c>
      <c r="G820" s="632"/>
      <c r="H820" s="632"/>
      <c r="I820" s="642">
        <f t="shared" si="374"/>
        <v>0</v>
      </c>
      <c r="J820" s="643">
        <f t="shared" si="375"/>
        <v>0</v>
      </c>
      <c r="K820" s="636"/>
      <c r="L820" s="636">
        <f t="shared" si="376"/>
        <v>0</v>
      </c>
      <c r="M820" s="636">
        <f t="shared" si="377"/>
        <v>0</v>
      </c>
    </row>
    <row r="821" spans="1:13">
      <c r="A821" s="637">
        <v>10.02</v>
      </c>
      <c r="B821" s="315" t="s">
        <v>632</v>
      </c>
      <c r="C821" s="638"/>
      <c r="D821" s="639"/>
      <c r="E821" s="655"/>
      <c r="F821" s="641"/>
      <c r="G821" s="632"/>
      <c r="H821" s="632"/>
      <c r="I821" s="642"/>
      <c r="J821" s="643"/>
      <c r="K821" s="636"/>
      <c r="L821" s="636"/>
      <c r="M821" s="636"/>
    </row>
    <row r="822" spans="1:13">
      <c r="A822" s="637" t="s">
        <v>682</v>
      </c>
      <c r="B822" s="315" t="s">
        <v>633</v>
      </c>
      <c r="C822" s="638">
        <v>10</v>
      </c>
      <c r="D822" s="639" t="s">
        <v>353</v>
      </c>
      <c r="E822" s="655">
        <v>2195.0039999999999</v>
      </c>
      <c r="F822" s="641">
        <f t="shared" si="373"/>
        <v>21950.04</v>
      </c>
      <c r="G822" s="632"/>
      <c r="H822" s="632"/>
      <c r="I822" s="642">
        <f t="shared" si="374"/>
        <v>0</v>
      </c>
      <c r="J822" s="643">
        <f t="shared" si="375"/>
        <v>0</v>
      </c>
      <c r="K822" s="636"/>
      <c r="L822" s="636">
        <f t="shared" si="376"/>
        <v>0</v>
      </c>
      <c r="M822" s="636">
        <f t="shared" si="377"/>
        <v>0</v>
      </c>
    </row>
    <row r="823" spans="1:13">
      <c r="A823" s="637" t="s">
        <v>683</v>
      </c>
      <c r="B823" s="315" t="s">
        <v>625</v>
      </c>
      <c r="C823" s="638">
        <v>1.2</v>
      </c>
      <c r="D823" s="639" t="s">
        <v>189</v>
      </c>
      <c r="E823" s="655">
        <v>2142.8600000000006</v>
      </c>
      <c r="F823" s="641">
        <f t="shared" si="373"/>
        <v>2571.4320000000007</v>
      </c>
      <c r="G823" s="632"/>
      <c r="H823" s="632"/>
      <c r="I823" s="642">
        <f t="shared" si="374"/>
        <v>0</v>
      </c>
      <c r="J823" s="643">
        <f t="shared" si="375"/>
        <v>0</v>
      </c>
      <c r="K823" s="636"/>
      <c r="L823" s="636">
        <f t="shared" si="376"/>
        <v>0</v>
      </c>
      <c r="M823" s="636">
        <f t="shared" si="377"/>
        <v>0</v>
      </c>
    </row>
    <row r="824" spans="1:13">
      <c r="A824" s="637" t="s">
        <v>684</v>
      </c>
      <c r="B824" s="315" t="s">
        <v>634</v>
      </c>
      <c r="C824" s="638">
        <v>1</v>
      </c>
      <c r="D824" s="639" t="s">
        <v>32</v>
      </c>
      <c r="E824" s="655">
        <v>4275.0400000000009</v>
      </c>
      <c r="F824" s="641">
        <f t="shared" si="373"/>
        <v>4275.0400000000009</v>
      </c>
      <c r="G824" s="632"/>
      <c r="H824" s="632"/>
      <c r="I824" s="642">
        <f t="shared" si="374"/>
        <v>0</v>
      </c>
      <c r="J824" s="643">
        <f t="shared" si="375"/>
        <v>0</v>
      </c>
      <c r="K824" s="636"/>
      <c r="L824" s="636">
        <f t="shared" si="376"/>
        <v>0</v>
      </c>
      <c r="M824" s="636">
        <f t="shared" si="377"/>
        <v>0</v>
      </c>
    </row>
    <row r="825" spans="1:13">
      <c r="A825" s="637" t="s">
        <v>685</v>
      </c>
      <c r="B825" s="315" t="s">
        <v>688</v>
      </c>
      <c r="C825" s="638">
        <v>1</v>
      </c>
      <c r="D825" s="639" t="s">
        <v>32</v>
      </c>
      <c r="E825" s="655">
        <v>716.60999999999967</v>
      </c>
      <c r="F825" s="641">
        <f t="shared" si="373"/>
        <v>716.60999999999967</v>
      </c>
      <c r="G825" s="632"/>
      <c r="H825" s="632"/>
      <c r="I825" s="642">
        <f t="shared" si="374"/>
        <v>0</v>
      </c>
      <c r="J825" s="643">
        <f t="shared" si="375"/>
        <v>0</v>
      </c>
      <c r="K825" s="636"/>
      <c r="L825" s="636">
        <f t="shared" si="376"/>
        <v>0</v>
      </c>
      <c r="M825" s="636">
        <f t="shared" si="377"/>
        <v>0</v>
      </c>
    </row>
    <row r="826" spans="1:13">
      <c r="A826" s="637"/>
      <c r="B826" s="315"/>
      <c r="C826" s="638"/>
      <c r="D826" s="639"/>
      <c r="E826" s="655"/>
      <c r="F826" s="772">
        <f>+SUBTOTAL(9,F814:F825)</f>
        <v>257279.992</v>
      </c>
      <c r="G826" s="632"/>
      <c r="H826" s="632"/>
      <c r="I826" s="642"/>
      <c r="J826" s="652"/>
      <c r="K826" s="657">
        <f>+SUBTOTAL(9,K814:K825)</f>
        <v>0</v>
      </c>
      <c r="L826" s="657">
        <f t="shared" ref="L826:M826" si="384">+SUBTOTAL(9,L814:L825)</f>
        <v>0</v>
      </c>
      <c r="M826" s="657">
        <f t="shared" si="384"/>
        <v>0</v>
      </c>
    </row>
    <row r="827" spans="1:13" s="779" customFormat="1">
      <c r="A827" s="628">
        <v>11</v>
      </c>
      <c r="B827" s="301" t="s">
        <v>636</v>
      </c>
      <c r="C827" s="774"/>
      <c r="D827" s="649"/>
      <c r="E827" s="775"/>
      <c r="F827" s="776"/>
      <c r="G827" s="777"/>
      <c r="H827" s="777"/>
      <c r="I827" s="780"/>
      <c r="J827" s="781"/>
      <c r="K827" s="778"/>
      <c r="L827" s="778"/>
      <c r="M827" s="778"/>
    </row>
    <row r="828" spans="1:13">
      <c r="A828" s="637">
        <v>11.01</v>
      </c>
      <c r="B828" s="315" t="s">
        <v>637</v>
      </c>
      <c r="C828" s="638">
        <v>44</v>
      </c>
      <c r="D828" s="639" t="s">
        <v>32</v>
      </c>
      <c r="E828" s="655">
        <v>497.10600000000028</v>
      </c>
      <c r="F828" s="641">
        <f t="shared" si="373"/>
        <v>21872.664000000012</v>
      </c>
      <c r="G828" s="632"/>
      <c r="H828" s="632"/>
      <c r="I828" s="642">
        <f t="shared" si="374"/>
        <v>0</v>
      </c>
      <c r="J828" s="643">
        <f t="shared" si="375"/>
        <v>0</v>
      </c>
      <c r="K828" s="636"/>
      <c r="L828" s="636">
        <f t="shared" si="376"/>
        <v>0</v>
      </c>
      <c r="M828" s="636">
        <f t="shared" si="377"/>
        <v>0</v>
      </c>
    </row>
    <row r="829" spans="1:13">
      <c r="A829" s="637">
        <v>11.02</v>
      </c>
      <c r="B829" s="315" t="s">
        <v>638</v>
      </c>
      <c r="C829" s="638">
        <v>10</v>
      </c>
      <c r="D829" s="639" t="s">
        <v>32</v>
      </c>
      <c r="E829" s="655">
        <v>543.6</v>
      </c>
      <c r="F829" s="641">
        <f t="shared" si="373"/>
        <v>5436</v>
      </c>
      <c r="G829" s="632"/>
      <c r="H829" s="632"/>
      <c r="I829" s="642">
        <f t="shared" si="374"/>
        <v>0</v>
      </c>
      <c r="J829" s="643">
        <f t="shared" si="375"/>
        <v>0</v>
      </c>
      <c r="K829" s="636"/>
      <c r="L829" s="636">
        <f t="shared" si="376"/>
        <v>0</v>
      </c>
      <c r="M829" s="636">
        <f t="shared" si="377"/>
        <v>0</v>
      </c>
    </row>
    <row r="830" spans="1:13">
      <c r="A830" s="637">
        <v>11.03</v>
      </c>
      <c r="B830" s="315" t="s">
        <v>639</v>
      </c>
      <c r="C830" s="638">
        <v>2</v>
      </c>
      <c r="D830" s="639" t="s">
        <v>32</v>
      </c>
      <c r="E830" s="655">
        <v>720.18000000000029</v>
      </c>
      <c r="F830" s="641">
        <f t="shared" si="373"/>
        <v>1440.3600000000006</v>
      </c>
      <c r="G830" s="632"/>
      <c r="H830" s="632"/>
      <c r="I830" s="642">
        <f t="shared" si="374"/>
        <v>0</v>
      </c>
      <c r="J830" s="643">
        <f t="shared" si="375"/>
        <v>0</v>
      </c>
      <c r="K830" s="636"/>
      <c r="L830" s="636">
        <f t="shared" si="376"/>
        <v>0</v>
      </c>
      <c r="M830" s="636">
        <f t="shared" si="377"/>
        <v>0</v>
      </c>
    </row>
    <row r="831" spans="1:13">
      <c r="A831" s="637">
        <v>11.04</v>
      </c>
      <c r="B831" s="315" t="s">
        <v>640</v>
      </c>
      <c r="C831" s="638">
        <v>1</v>
      </c>
      <c r="D831" s="639" t="s">
        <v>32</v>
      </c>
      <c r="E831" s="655">
        <v>870.11599999999953</v>
      </c>
      <c r="F831" s="641">
        <f t="shared" si="373"/>
        <v>870.11599999999953</v>
      </c>
      <c r="G831" s="632"/>
      <c r="H831" s="632"/>
      <c r="I831" s="642">
        <f t="shared" si="374"/>
        <v>0</v>
      </c>
      <c r="J831" s="643">
        <f t="shared" si="375"/>
        <v>0</v>
      </c>
      <c r="K831" s="636"/>
      <c r="L831" s="636">
        <f t="shared" si="376"/>
        <v>0</v>
      </c>
      <c r="M831" s="636">
        <f t="shared" si="377"/>
        <v>0</v>
      </c>
    </row>
    <row r="832" spans="1:13">
      <c r="A832" s="637">
        <v>11.049999999999999</v>
      </c>
      <c r="B832" s="315" t="s">
        <v>641</v>
      </c>
      <c r="C832" s="638">
        <v>2</v>
      </c>
      <c r="D832" s="639" t="s">
        <v>32</v>
      </c>
      <c r="E832" s="655">
        <v>660.37400000000025</v>
      </c>
      <c r="F832" s="641">
        <f t="shared" si="373"/>
        <v>1320.7480000000005</v>
      </c>
      <c r="G832" s="632"/>
      <c r="H832" s="632"/>
      <c r="I832" s="642">
        <f t="shared" si="374"/>
        <v>0</v>
      </c>
      <c r="J832" s="643">
        <f t="shared" si="375"/>
        <v>0</v>
      </c>
      <c r="K832" s="636"/>
      <c r="L832" s="636">
        <f t="shared" si="376"/>
        <v>0</v>
      </c>
      <c r="M832" s="636">
        <f t="shared" si="377"/>
        <v>0</v>
      </c>
    </row>
    <row r="833" spans="1:13">
      <c r="A833" s="637">
        <v>11.059999999999999</v>
      </c>
      <c r="B833" s="315" t="s">
        <v>642</v>
      </c>
      <c r="C833" s="638">
        <v>30</v>
      </c>
      <c r="D833" s="639" t="s">
        <v>32</v>
      </c>
      <c r="E833" s="655">
        <v>688.7399999999999</v>
      </c>
      <c r="F833" s="641">
        <f t="shared" si="373"/>
        <v>20662.199999999997</v>
      </c>
      <c r="G833" s="632"/>
      <c r="H833" s="632"/>
      <c r="I833" s="642">
        <f t="shared" si="374"/>
        <v>0</v>
      </c>
      <c r="J833" s="643">
        <f t="shared" si="375"/>
        <v>0</v>
      </c>
      <c r="K833" s="636"/>
      <c r="L833" s="636">
        <f t="shared" si="376"/>
        <v>0</v>
      </c>
      <c r="M833" s="636">
        <f t="shared" si="377"/>
        <v>0</v>
      </c>
    </row>
    <row r="834" spans="1:13">
      <c r="A834" s="637">
        <v>11.069999999999999</v>
      </c>
      <c r="B834" s="315" t="s">
        <v>643</v>
      </c>
      <c r="C834" s="638">
        <v>12</v>
      </c>
      <c r="D834" s="639" t="s">
        <v>32</v>
      </c>
      <c r="E834" s="655">
        <v>1311.5259999999998</v>
      </c>
      <c r="F834" s="641">
        <f t="shared" si="373"/>
        <v>15738.311999999998</v>
      </c>
      <c r="G834" s="632"/>
      <c r="H834" s="632"/>
      <c r="I834" s="642">
        <f t="shared" si="374"/>
        <v>0</v>
      </c>
      <c r="J834" s="643">
        <f t="shared" si="375"/>
        <v>0</v>
      </c>
      <c r="K834" s="636"/>
      <c r="L834" s="636">
        <f t="shared" si="376"/>
        <v>0</v>
      </c>
      <c r="M834" s="636">
        <f t="shared" si="377"/>
        <v>0</v>
      </c>
    </row>
    <row r="835" spans="1:13">
      <c r="A835" s="637">
        <v>11.079999999999998</v>
      </c>
      <c r="B835" s="315" t="s">
        <v>644</v>
      </c>
      <c r="C835" s="638">
        <v>16</v>
      </c>
      <c r="D835" s="639" t="s">
        <v>32</v>
      </c>
      <c r="E835" s="655">
        <v>339.20399999999995</v>
      </c>
      <c r="F835" s="641">
        <f t="shared" si="373"/>
        <v>5427.2639999999992</v>
      </c>
      <c r="G835" s="632"/>
      <c r="H835" s="632"/>
      <c r="I835" s="642">
        <f t="shared" si="374"/>
        <v>0</v>
      </c>
      <c r="J835" s="643">
        <f t="shared" si="375"/>
        <v>0</v>
      </c>
      <c r="K835" s="636"/>
      <c r="L835" s="636">
        <f t="shared" si="376"/>
        <v>0</v>
      </c>
      <c r="M835" s="636">
        <f t="shared" si="377"/>
        <v>0</v>
      </c>
    </row>
    <row r="836" spans="1:13">
      <c r="A836" s="637">
        <v>11.089999999999998</v>
      </c>
      <c r="B836" s="315" t="s">
        <v>645</v>
      </c>
      <c r="C836" s="638">
        <v>1</v>
      </c>
      <c r="D836" s="639" t="s">
        <v>32</v>
      </c>
      <c r="E836" s="655">
        <v>8650.1759999999995</v>
      </c>
      <c r="F836" s="641">
        <f t="shared" si="373"/>
        <v>8650.1759999999995</v>
      </c>
      <c r="G836" s="632"/>
      <c r="H836" s="632"/>
      <c r="I836" s="642">
        <f t="shared" si="374"/>
        <v>0</v>
      </c>
      <c r="J836" s="643">
        <f t="shared" si="375"/>
        <v>0</v>
      </c>
      <c r="K836" s="636"/>
      <c r="L836" s="636">
        <f t="shared" si="376"/>
        <v>0</v>
      </c>
      <c r="M836" s="636">
        <f t="shared" si="377"/>
        <v>0</v>
      </c>
    </row>
    <row r="837" spans="1:13">
      <c r="A837" s="637"/>
      <c r="B837" s="315"/>
      <c r="C837" s="638"/>
      <c r="D837" s="639"/>
      <c r="E837" s="655"/>
      <c r="F837" s="772">
        <f>+SUBTOTAL(9,F828:F836)</f>
        <v>81417.84</v>
      </c>
      <c r="G837" s="632"/>
      <c r="H837" s="632"/>
      <c r="I837" s="642"/>
      <c r="J837" s="652"/>
      <c r="K837" s="657">
        <f>+SUBTOTAL(9,K828:K836)</f>
        <v>0</v>
      </c>
      <c r="L837" s="657">
        <f t="shared" ref="L837:M837" si="385">+SUBTOTAL(9,L828:L836)</f>
        <v>0</v>
      </c>
      <c r="M837" s="657">
        <f t="shared" si="385"/>
        <v>0</v>
      </c>
    </row>
    <row r="838" spans="1:13" s="779" customFormat="1" ht="26.25">
      <c r="A838" s="628" t="s">
        <v>214</v>
      </c>
      <c r="B838" s="301" t="s">
        <v>694</v>
      </c>
      <c r="C838" s="774"/>
      <c r="D838" s="649"/>
      <c r="E838" s="775"/>
      <c r="F838" s="776"/>
      <c r="G838" s="777"/>
      <c r="H838" s="777"/>
      <c r="I838" s="780"/>
      <c r="J838" s="781"/>
      <c r="K838" s="778"/>
      <c r="L838" s="778"/>
      <c r="M838" s="778"/>
    </row>
    <row r="839" spans="1:13" s="779" customFormat="1">
      <c r="A839" s="628">
        <v>1</v>
      </c>
      <c r="B839" s="301" t="s">
        <v>651</v>
      </c>
      <c r="C839" s="774"/>
      <c r="D839" s="649"/>
      <c r="E839" s="775"/>
      <c r="F839" s="776"/>
      <c r="G839" s="777"/>
      <c r="H839" s="777"/>
      <c r="I839" s="780"/>
      <c r="J839" s="781"/>
      <c r="K839" s="778"/>
      <c r="L839" s="778"/>
      <c r="M839" s="778"/>
    </row>
    <row r="840" spans="1:13">
      <c r="A840" s="637">
        <v>1.01</v>
      </c>
      <c r="B840" s="315" t="s">
        <v>652</v>
      </c>
      <c r="C840" s="638">
        <v>841.25</v>
      </c>
      <c r="D840" s="639" t="s">
        <v>189</v>
      </c>
      <c r="E840" s="655">
        <v>188.43999999999988</v>
      </c>
      <c r="F840" s="641">
        <f t="shared" si="373"/>
        <v>158525.14999999991</v>
      </c>
      <c r="G840" s="632"/>
      <c r="H840" s="632"/>
      <c r="I840" s="642">
        <f t="shared" si="374"/>
        <v>0</v>
      </c>
      <c r="J840" s="643">
        <f t="shared" si="375"/>
        <v>0</v>
      </c>
      <c r="K840" s="636"/>
      <c r="L840" s="636">
        <f t="shared" si="376"/>
        <v>0</v>
      </c>
      <c r="M840" s="636">
        <f t="shared" si="377"/>
        <v>0</v>
      </c>
    </row>
    <row r="841" spans="1:13">
      <c r="A841" s="637">
        <v>1.02</v>
      </c>
      <c r="B841" s="315" t="s">
        <v>653</v>
      </c>
      <c r="C841" s="638">
        <v>142.94999999999999</v>
      </c>
      <c r="D841" s="639" t="s">
        <v>30</v>
      </c>
      <c r="E841" s="655">
        <v>247.15</v>
      </c>
      <c r="F841" s="641">
        <f t="shared" si="373"/>
        <v>35330.092499999999</v>
      </c>
      <c r="G841" s="632"/>
      <c r="H841" s="632"/>
      <c r="I841" s="642">
        <f t="shared" si="374"/>
        <v>0</v>
      </c>
      <c r="J841" s="643">
        <f t="shared" si="375"/>
        <v>0</v>
      </c>
      <c r="K841" s="636"/>
      <c r="L841" s="636">
        <f t="shared" si="376"/>
        <v>0</v>
      </c>
      <c r="M841" s="636">
        <f t="shared" si="377"/>
        <v>0</v>
      </c>
    </row>
    <row r="842" spans="1:13">
      <c r="A842" s="637">
        <v>1.03</v>
      </c>
      <c r="B842" s="315" t="s">
        <v>695</v>
      </c>
      <c r="C842" s="638">
        <v>841.25</v>
      </c>
      <c r="D842" s="639" t="s">
        <v>189</v>
      </c>
      <c r="E842" s="655">
        <v>884.11416333333341</v>
      </c>
      <c r="F842" s="641">
        <f t="shared" si="373"/>
        <v>743761.03990416671</v>
      </c>
      <c r="G842" s="632"/>
      <c r="H842" s="632"/>
      <c r="I842" s="642">
        <f t="shared" si="374"/>
        <v>0</v>
      </c>
      <c r="J842" s="643">
        <f t="shared" si="375"/>
        <v>0</v>
      </c>
      <c r="K842" s="636"/>
      <c r="L842" s="636">
        <f t="shared" si="376"/>
        <v>0</v>
      </c>
      <c r="M842" s="636">
        <f t="shared" si="377"/>
        <v>0</v>
      </c>
    </row>
    <row r="843" spans="1:13">
      <c r="A843" s="637"/>
      <c r="B843" s="315"/>
      <c r="C843" s="638"/>
      <c r="D843" s="639"/>
      <c r="E843" s="655"/>
      <c r="F843" s="772">
        <f>+SUBTOTAL(9,F840:F842)</f>
        <v>937616.28240416665</v>
      </c>
      <c r="G843" s="632"/>
      <c r="H843" s="632"/>
      <c r="I843" s="642"/>
      <c r="J843" s="652"/>
      <c r="K843" s="657">
        <f>+SUBTOTAL(9,K840:K842)</f>
        <v>0</v>
      </c>
      <c r="L843" s="657">
        <f t="shared" ref="L843:M843" si="386">+SUBTOTAL(9,L840:L842)</f>
        <v>0</v>
      </c>
      <c r="M843" s="657">
        <f t="shared" si="386"/>
        <v>0</v>
      </c>
    </row>
    <row r="844" spans="1:13" s="779" customFormat="1">
      <c r="A844" s="628">
        <v>2</v>
      </c>
      <c r="B844" s="301" t="s">
        <v>276</v>
      </c>
      <c r="C844" s="774"/>
      <c r="D844" s="649"/>
      <c r="E844" s="775"/>
      <c r="F844" s="776"/>
      <c r="G844" s="777"/>
      <c r="H844" s="777"/>
      <c r="I844" s="780"/>
      <c r="J844" s="781"/>
      <c r="K844" s="778"/>
      <c r="L844" s="778"/>
      <c r="M844" s="778"/>
    </row>
    <row r="845" spans="1:13">
      <c r="A845" s="637">
        <v>2.0099999999999998</v>
      </c>
      <c r="B845" s="315" t="s">
        <v>655</v>
      </c>
      <c r="C845" s="638">
        <v>1658.4</v>
      </c>
      <c r="D845" s="639" t="s">
        <v>189</v>
      </c>
      <c r="E845" s="655">
        <v>434.54</v>
      </c>
      <c r="F845" s="641">
        <f t="shared" si="373"/>
        <v>720641.13600000006</v>
      </c>
      <c r="G845" s="632"/>
      <c r="H845" s="632"/>
      <c r="I845" s="642">
        <f t="shared" si="374"/>
        <v>0</v>
      </c>
      <c r="J845" s="643">
        <f t="shared" si="375"/>
        <v>0</v>
      </c>
      <c r="K845" s="636"/>
      <c r="L845" s="636">
        <f t="shared" si="376"/>
        <v>0</v>
      </c>
      <c r="M845" s="636">
        <f t="shared" si="377"/>
        <v>0</v>
      </c>
    </row>
    <row r="846" spans="1:13">
      <c r="A846" s="637"/>
      <c r="B846" s="315"/>
      <c r="C846" s="638"/>
      <c r="D846" s="639"/>
      <c r="E846" s="655"/>
      <c r="F846" s="772">
        <f>+SUBTOTAL(9,F845)</f>
        <v>720641.13600000006</v>
      </c>
      <c r="G846" s="632"/>
      <c r="H846" s="632"/>
      <c r="I846" s="642"/>
      <c r="J846" s="652"/>
      <c r="K846" s="657">
        <f>+SUBTOTAL(9,K845)</f>
        <v>0</v>
      </c>
      <c r="L846" s="657">
        <f t="shared" ref="L846:M846" si="387">+SUBTOTAL(9,L845)</f>
        <v>0</v>
      </c>
      <c r="M846" s="657">
        <f t="shared" si="387"/>
        <v>0</v>
      </c>
    </row>
    <row r="847" spans="1:13" s="779" customFormat="1">
      <c r="A847" s="628">
        <v>3</v>
      </c>
      <c r="B847" s="301" t="s">
        <v>656</v>
      </c>
      <c r="C847" s="774"/>
      <c r="D847" s="649"/>
      <c r="E847" s="775"/>
      <c r="F847" s="776"/>
      <c r="G847" s="777"/>
      <c r="H847" s="777"/>
      <c r="I847" s="780"/>
      <c r="J847" s="781"/>
      <c r="K847" s="778"/>
      <c r="L847" s="778"/>
      <c r="M847" s="778"/>
    </row>
    <row r="848" spans="1:13">
      <c r="A848" s="637">
        <v>3.03</v>
      </c>
      <c r="B848" s="315" t="s">
        <v>659</v>
      </c>
      <c r="C848" s="638">
        <v>1</v>
      </c>
      <c r="D848" s="639" t="s">
        <v>88</v>
      </c>
      <c r="E848" s="655">
        <v>129006.92627207667</v>
      </c>
      <c r="F848" s="641">
        <f t="shared" si="373"/>
        <v>129006.92627207667</v>
      </c>
      <c r="G848" s="632"/>
      <c r="H848" s="632"/>
      <c r="I848" s="642">
        <f t="shared" si="374"/>
        <v>0</v>
      </c>
      <c r="J848" s="643">
        <f t="shared" si="375"/>
        <v>0</v>
      </c>
      <c r="K848" s="636"/>
      <c r="L848" s="636">
        <f t="shared" si="376"/>
        <v>0</v>
      </c>
      <c r="M848" s="636">
        <f t="shared" si="377"/>
        <v>0</v>
      </c>
    </row>
    <row r="849" spans="1:13">
      <c r="A849" s="637"/>
      <c r="B849" s="315"/>
      <c r="C849" s="638"/>
      <c r="D849" s="639"/>
      <c r="E849" s="655"/>
      <c r="F849" s="772">
        <f>+SUBTOTAL(9,F848)</f>
        <v>129006.92627207667</v>
      </c>
      <c r="G849" s="632"/>
      <c r="H849" s="632"/>
      <c r="I849" s="642"/>
      <c r="J849" s="652"/>
      <c r="K849" s="657">
        <f>+SUBTOTAL(9,K848)</f>
        <v>0</v>
      </c>
      <c r="L849" s="657">
        <f t="shared" ref="L849:M849" si="388">+SUBTOTAL(9,L848)</f>
        <v>0</v>
      </c>
      <c r="M849" s="657">
        <f t="shared" si="388"/>
        <v>0</v>
      </c>
    </row>
    <row r="850" spans="1:13" s="779" customFormat="1">
      <c r="A850" s="628">
        <v>4</v>
      </c>
      <c r="B850" s="301" t="s">
        <v>229</v>
      </c>
      <c r="C850" s="774"/>
      <c r="D850" s="649"/>
      <c r="E850" s="775"/>
      <c r="F850" s="776"/>
      <c r="G850" s="777"/>
      <c r="H850" s="777"/>
      <c r="I850" s="780"/>
      <c r="J850" s="781"/>
      <c r="K850" s="778"/>
      <c r="L850" s="778"/>
      <c r="M850" s="778"/>
    </row>
    <row r="851" spans="1:13">
      <c r="A851" s="637">
        <v>4.01</v>
      </c>
      <c r="B851" s="315" t="s">
        <v>696</v>
      </c>
      <c r="C851" s="638">
        <v>2</v>
      </c>
      <c r="D851" s="639" t="s">
        <v>32</v>
      </c>
      <c r="E851" s="655">
        <v>1647500.0000000005</v>
      </c>
      <c r="F851" s="641">
        <f t="shared" ref="F851:F853" si="389">+E851*C851</f>
        <v>3295000.0000000009</v>
      </c>
      <c r="G851" s="632"/>
      <c r="H851" s="632"/>
      <c r="I851" s="642">
        <f t="shared" ref="I851:I853" si="390">+H851+G851</f>
        <v>0</v>
      </c>
      <c r="J851" s="643">
        <f t="shared" ref="J851:J853" si="391">I851/C851</f>
        <v>0</v>
      </c>
      <c r="K851" s="636"/>
      <c r="L851" s="636">
        <f t="shared" ref="L851:L853" si="392">+H851*E851</f>
        <v>0</v>
      </c>
      <c r="M851" s="636">
        <f t="shared" ref="M851:M853" si="393">K851+L851</f>
        <v>0</v>
      </c>
    </row>
    <row r="852" spans="1:13">
      <c r="A852" s="637">
        <v>4.0199999999999996</v>
      </c>
      <c r="B852" s="315" t="s">
        <v>697</v>
      </c>
      <c r="C852" s="638">
        <v>1</v>
      </c>
      <c r="D852" s="639" t="s">
        <v>88</v>
      </c>
      <c r="E852" s="655">
        <v>278999.99579999998</v>
      </c>
      <c r="F852" s="641">
        <f t="shared" si="389"/>
        <v>278999.99579999998</v>
      </c>
      <c r="G852" s="632"/>
      <c r="H852" s="632"/>
      <c r="I852" s="642">
        <f t="shared" si="390"/>
        <v>0</v>
      </c>
      <c r="J852" s="643">
        <f t="shared" si="391"/>
        <v>0</v>
      </c>
      <c r="K852" s="636"/>
      <c r="L852" s="636">
        <f t="shared" si="392"/>
        <v>0</v>
      </c>
      <c r="M852" s="636">
        <f t="shared" si="393"/>
        <v>0</v>
      </c>
    </row>
    <row r="853" spans="1:13" ht="26.25">
      <c r="A853" s="637">
        <v>4.0299999999999994</v>
      </c>
      <c r="B853" s="315" t="s">
        <v>698</v>
      </c>
      <c r="C853" s="638">
        <v>1</v>
      </c>
      <c r="D853" s="639" t="s">
        <v>88</v>
      </c>
      <c r="E853" s="655">
        <v>916000</v>
      </c>
      <c r="F853" s="641">
        <f t="shared" si="389"/>
        <v>916000</v>
      </c>
      <c r="G853" s="632"/>
      <c r="H853" s="632"/>
      <c r="I853" s="642">
        <f t="shared" si="390"/>
        <v>0</v>
      </c>
      <c r="J853" s="643">
        <f t="shared" si="391"/>
        <v>0</v>
      </c>
      <c r="K853" s="636"/>
      <c r="L853" s="636">
        <f t="shared" si="392"/>
        <v>0</v>
      </c>
      <c r="M853" s="636">
        <f t="shared" si="393"/>
        <v>0</v>
      </c>
    </row>
    <row r="854" spans="1:13">
      <c r="A854" s="637"/>
      <c r="B854" s="663" t="s">
        <v>44</v>
      </c>
      <c r="C854" s="664"/>
      <c r="D854" s="665"/>
      <c r="E854" s="666"/>
      <c r="F854" s="772">
        <f>+SUBTOTAL(9,F851:F853)</f>
        <v>4489999.9958000015</v>
      </c>
      <c r="G854" s="632"/>
      <c r="H854" s="632"/>
      <c r="I854" s="642"/>
      <c r="J854" s="652"/>
      <c r="K854" s="657">
        <f>+SUBTOTAL(9,K851:K853)</f>
        <v>0</v>
      </c>
      <c r="L854" s="657">
        <f t="shared" ref="L854:M854" si="394">+SUBTOTAL(9,L851:L853)</f>
        <v>0</v>
      </c>
      <c r="M854" s="657">
        <f t="shared" si="394"/>
        <v>0</v>
      </c>
    </row>
    <row r="855" spans="1:13">
      <c r="A855" s="756"/>
      <c r="B855" s="757" t="s">
        <v>664</v>
      </c>
      <c r="C855" s="758"/>
      <c r="D855" s="756"/>
      <c r="E855" s="758"/>
      <c r="F855" s="760">
        <f>+SUBTOTAL(9,F595:F854)</f>
        <v>26807336.503983684</v>
      </c>
      <c r="G855" s="758"/>
      <c r="H855" s="758"/>
      <c r="I855" s="758"/>
      <c r="J855" s="758"/>
      <c r="K855" s="760">
        <f>+SUBTOTAL(9,K700:K854)</f>
        <v>0</v>
      </c>
      <c r="L855" s="760">
        <f t="shared" ref="L855:M855" si="395">+SUBTOTAL(9,L700:L854)</f>
        <v>0</v>
      </c>
      <c r="M855" s="760">
        <f t="shared" si="395"/>
        <v>0</v>
      </c>
    </row>
    <row r="856" spans="1:13">
      <c r="A856" s="761"/>
      <c r="B856" s="563"/>
      <c r="C856" s="416"/>
      <c r="D856" s="761"/>
      <c r="E856" s="416"/>
      <c r="F856" s="762"/>
      <c r="G856" s="416"/>
      <c r="H856" s="416"/>
      <c r="I856" s="416"/>
      <c r="J856" s="416"/>
      <c r="K856" s="416"/>
      <c r="L856" s="416"/>
      <c r="M856" s="416"/>
    </row>
    <row r="857" spans="1:13" s="801" customFormat="1">
      <c r="A857" s="797"/>
      <c r="B857" s="1125" t="s">
        <v>699</v>
      </c>
      <c r="C857" s="1125"/>
      <c r="D857" s="1125"/>
      <c r="E857" s="1125"/>
      <c r="F857" s="1125"/>
      <c r="G857" s="1125"/>
      <c r="H857" s="799"/>
      <c r="I857" s="799"/>
      <c r="J857" s="799"/>
      <c r="K857" s="799"/>
      <c r="L857" s="799"/>
      <c r="M857" s="799"/>
    </row>
    <row r="858" spans="1:13">
      <c r="A858" s="802"/>
      <c r="B858" s="802" t="s">
        <v>700</v>
      </c>
      <c r="C858" s="803"/>
      <c r="D858" s="802"/>
      <c r="E858" s="803"/>
      <c r="F858" s="804"/>
      <c r="G858" s="805" t="s">
        <v>22</v>
      </c>
      <c r="H858" s="805" t="s">
        <v>23</v>
      </c>
      <c r="I858" s="806" t="s">
        <v>24</v>
      </c>
      <c r="J858" s="453" t="s">
        <v>25</v>
      </c>
      <c r="K858" s="454" t="s">
        <v>22</v>
      </c>
      <c r="L858" s="807" t="s">
        <v>23</v>
      </c>
      <c r="M858" s="807" t="s">
        <v>24</v>
      </c>
    </row>
    <row r="859" spans="1:13">
      <c r="A859" s="449" t="s">
        <v>16</v>
      </c>
      <c r="B859" s="449" t="s">
        <v>17</v>
      </c>
      <c r="C859" s="449" t="s">
        <v>32</v>
      </c>
      <c r="D859" s="449" t="s">
        <v>94</v>
      </c>
      <c r="E859" s="449" t="s">
        <v>701</v>
      </c>
      <c r="F859" s="808" t="s">
        <v>21</v>
      </c>
      <c r="G859" s="809"/>
      <c r="H859" s="809"/>
      <c r="I859" s="809"/>
      <c r="J859" s="809"/>
      <c r="K859" s="810"/>
      <c r="L859" s="810"/>
      <c r="M859" s="810"/>
    </row>
    <row r="860" spans="1:13">
      <c r="A860" s="449"/>
      <c r="B860" s="449" t="s">
        <v>702</v>
      </c>
      <c r="C860" s="449"/>
      <c r="D860" s="449"/>
      <c r="E860" s="449"/>
      <c r="F860" s="808"/>
      <c r="G860" s="809"/>
      <c r="H860" s="809"/>
      <c r="I860" s="809"/>
      <c r="J860" s="809"/>
      <c r="K860" s="810"/>
      <c r="L860" s="810"/>
      <c r="M860" s="810"/>
    </row>
    <row r="861" spans="1:13">
      <c r="A861" s="811">
        <v>1</v>
      </c>
      <c r="B861" s="812" t="s">
        <v>703</v>
      </c>
      <c r="C861" s="813"/>
      <c r="D861" s="814"/>
      <c r="E861" s="813"/>
      <c r="F861" s="815"/>
      <c r="G861" s="816"/>
      <c r="H861" s="816"/>
      <c r="I861" s="816"/>
      <c r="J861" s="816"/>
      <c r="K861" s="817"/>
      <c r="L861" s="817"/>
      <c r="M861" s="817"/>
    </row>
    <row r="862" spans="1:13">
      <c r="A862" s="818">
        <v>1.01</v>
      </c>
      <c r="B862" s="819" t="s">
        <v>593</v>
      </c>
      <c r="C862" s="820">
        <v>101.30875</v>
      </c>
      <c r="D862" s="821" t="s">
        <v>38</v>
      </c>
      <c r="E862" s="822">
        <v>21597.32</v>
      </c>
      <c r="F862" s="823">
        <f>C862*E862</f>
        <v>2187997.4925500001</v>
      </c>
      <c r="G862" s="632">
        <v>101.30875</v>
      </c>
      <c r="H862" s="632"/>
      <c r="I862" s="642"/>
      <c r="J862" s="643">
        <f>I862/C862</f>
        <v>0</v>
      </c>
      <c r="K862" s="636">
        <v>2187997.4925500001</v>
      </c>
      <c r="L862" s="636">
        <f>H862*E862</f>
        <v>0</v>
      </c>
      <c r="M862" s="824">
        <f>K862+L862</f>
        <v>2187997.4925500001</v>
      </c>
    </row>
    <row r="863" spans="1:13">
      <c r="A863" s="818">
        <v>1.02</v>
      </c>
      <c r="B863" s="819" t="s">
        <v>704</v>
      </c>
      <c r="C863" s="820">
        <v>55.187925</v>
      </c>
      <c r="D863" s="821" t="s">
        <v>38</v>
      </c>
      <c r="E863" s="822">
        <v>5305.65</v>
      </c>
      <c r="F863" s="823">
        <f>C863*E863</f>
        <v>292807.81427624996</v>
      </c>
      <c r="G863" s="632">
        <v>55.187925</v>
      </c>
      <c r="H863" s="632"/>
      <c r="I863" s="642"/>
      <c r="J863" s="643">
        <f>I863/C863</f>
        <v>0</v>
      </c>
      <c r="K863" s="636">
        <v>292807.81427624996</v>
      </c>
      <c r="L863" s="636">
        <f>H863*E863</f>
        <v>0</v>
      </c>
      <c r="M863" s="824">
        <f>K863+L863</f>
        <v>292807.81427624996</v>
      </c>
    </row>
    <row r="864" spans="1:13">
      <c r="A864" s="818"/>
      <c r="B864" s="825" t="s">
        <v>44</v>
      </c>
      <c r="C864" s="820"/>
      <c r="D864" s="821"/>
      <c r="E864" s="822"/>
      <c r="F864" s="826">
        <f>SUM(F862)</f>
        <v>2187997.4925500001</v>
      </c>
      <c r="G864" s="816"/>
      <c r="H864" s="816"/>
      <c r="I864" s="816"/>
      <c r="J864" s="816"/>
      <c r="K864" s="657">
        <f>+SUBTOTAL(9,K862:K863)</f>
        <v>2480805.3068262502</v>
      </c>
      <c r="L864" s="657">
        <f t="shared" ref="L864:M864" si="396">+SUBTOTAL(9,L862:L863)</f>
        <v>0</v>
      </c>
      <c r="M864" s="657">
        <f t="shared" si="396"/>
        <v>2480805.3068262502</v>
      </c>
    </row>
    <row r="865" spans="1:13">
      <c r="A865" s="811">
        <v>2</v>
      </c>
      <c r="B865" s="825" t="s">
        <v>705</v>
      </c>
      <c r="C865" s="820"/>
      <c r="D865" s="821"/>
      <c r="E865" s="822"/>
      <c r="F865" s="823"/>
      <c r="G865" s="816"/>
      <c r="H865" s="816"/>
      <c r="I865" s="816"/>
      <c r="J865" s="816"/>
      <c r="K865" s="817"/>
      <c r="L865" s="817"/>
      <c r="M865" s="817"/>
    </row>
    <row r="866" spans="1:13">
      <c r="A866" s="818">
        <f>A865+0.01</f>
        <v>2.0099999999999998</v>
      </c>
      <c r="B866" s="819" t="s">
        <v>706</v>
      </c>
      <c r="C866" s="820">
        <v>1</v>
      </c>
      <c r="D866" s="821" t="s">
        <v>128</v>
      </c>
      <c r="E866" s="822">
        <v>20000</v>
      </c>
      <c r="F866" s="823">
        <f>C866*E866</f>
        <v>20000</v>
      </c>
      <c r="G866" s="632">
        <v>1</v>
      </c>
      <c r="H866" s="632"/>
      <c r="I866" s="642"/>
      <c r="J866" s="643">
        <f>I866/C866</f>
        <v>0</v>
      </c>
      <c r="K866" s="636">
        <v>20000</v>
      </c>
      <c r="L866" s="636">
        <f>H866*E866</f>
        <v>0</v>
      </c>
      <c r="M866" s="824">
        <f>K866+L866</f>
        <v>20000</v>
      </c>
    </row>
    <row r="867" spans="1:13">
      <c r="A867" s="818">
        <f t="shared" ref="A867" si="397">A866+0.01</f>
        <v>2.0199999999999996</v>
      </c>
      <c r="B867" s="819" t="s">
        <v>707</v>
      </c>
      <c r="C867" s="820">
        <v>1</v>
      </c>
      <c r="D867" s="821" t="s">
        <v>128</v>
      </c>
      <c r="E867" s="822">
        <v>88387.44</v>
      </c>
      <c r="F867" s="823">
        <f t="shared" ref="F867:F869" si="398">C867*E867</f>
        <v>88387.44</v>
      </c>
      <c r="G867" s="632">
        <v>1</v>
      </c>
      <c r="H867" s="632"/>
      <c r="I867" s="642"/>
      <c r="J867" s="643">
        <f>I867/C867</f>
        <v>0</v>
      </c>
      <c r="K867" s="636">
        <v>88387.44</v>
      </c>
      <c r="L867" s="636">
        <f>H867*E867</f>
        <v>0</v>
      </c>
      <c r="M867" s="824">
        <f>K867+L867</f>
        <v>88387.44</v>
      </c>
    </row>
    <row r="868" spans="1:13">
      <c r="A868" s="818">
        <f>A867+0.01</f>
        <v>2.0299999999999994</v>
      </c>
      <c r="B868" s="819" t="s">
        <v>708</v>
      </c>
      <c r="C868" s="820">
        <v>1</v>
      </c>
      <c r="D868" s="821" t="s">
        <v>128</v>
      </c>
      <c r="E868" s="827">
        <v>152290.26999999999</v>
      </c>
      <c r="F868" s="823">
        <f t="shared" si="398"/>
        <v>152290.26999999999</v>
      </c>
      <c r="G868" s="632">
        <v>1</v>
      </c>
      <c r="H868" s="632"/>
      <c r="I868" s="642"/>
      <c r="J868" s="643">
        <f>I868/C868</f>
        <v>0</v>
      </c>
      <c r="K868" s="636">
        <v>152290.26999999999</v>
      </c>
      <c r="L868" s="636">
        <f>H868*E868</f>
        <v>0</v>
      </c>
      <c r="M868" s="824">
        <f>K868+L868</f>
        <v>152290.26999999999</v>
      </c>
    </row>
    <row r="869" spans="1:13">
      <c r="A869" s="818">
        <f>A868+0.01</f>
        <v>2.0399999999999991</v>
      </c>
      <c r="B869" s="819" t="s">
        <v>709</v>
      </c>
      <c r="C869" s="828">
        <v>1596.32</v>
      </c>
      <c r="D869" s="827" t="s">
        <v>38</v>
      </c>
      <c r="E869" s="822">
        <v>351.21</v>
      </c>
      <c r="F869" s="823">
        <f t="shared" si="398"/>
        <v>560643.54719999991</v>
      </c>
      <c r="G869" s="632">
        <v>1596.32</v>
      </c>
      <c r="H869" s="632"/>
      <c r="I869" s="642"/>
      <c r="J869" s="643">
        <f>I869/C869</f>
        <v>0</v>
      </c>
      <c r="K869" s="636">
        <v>560643.54719999991</v>
      </c>
      <c r="L869" s="636">
        <f>H869*E869</f>
        <v>0</v>
      </c>
      <c r="M869" s="824">
        <f>K869+L869</f>
        <v>560643.54719999991</v>
      </c>
    </row>
    <row r="870" spans="1:13">
      <c r="A870" s="829"/>
      <c r="B870" s="825" t="s">
        <v>44</v>
      </c>
      <c r="C870" s="820"/>
      <c r="D870" s="821"/>
      <c r="E870" s="822"/>
      <c r="F870" s="826">
        <f>SUM(F866:F868)</f>
        <v>260677.71</v>
      </c>
      <c r="G870" s="830"/>
      <c r="H870" s="830"/>
      <c r="I870" s="830"/>
      <c r="J870" s="830"/>
      <c r="K870" s="657">
        <f>+SUBTOTAL(9,K866:K869)</f>
        <v>821321.25719999988</v>
      </c>
      <c r="L870" s="657">
        <f t="shared" ref="L870:M870" si="399">+SUBTOTAL(9,L866:L869)</f>
        <v>0</v>
      </c>
      <c r="M870" s="657">
        <f t="shared" si="399"/>
        <v>821321.25719999988</v>
      </c>
    </row>
    <row r="871" spans="1:13">
      <c r="A871" s="831">
        <v>3</v>
      </c>
      <c r="B871" s="825" t="s">
        <v>710</v>
      </c>
      <c r="C871" s="820"/>
      <c r="D871" s="821"/>
      <c r="E871" s="822"/>
      <c r="F871" s="823"/>
      <c r="G871" s="816"/>
      <c r="H871" s="816"/>
      <c r="I871" s="816"/>
      <c r="J871" s="816"/>
      <c r="K871" s="817"/>
      <c r="L871" s="817"/>
      <c r="M871" s="817"/>
    </row>
    <row r="872" spans="1:13" ht="26.25">
      <c r="A872" s="829">
        <f>A871+0.01</f>
        <v>3.01</v>
      </c>
      <c r="B872" s="819" t="s">
        <v>711</v>
      </c>
      <c r="C872" s="828">
        <v>4182.2950949999995</v>
      </c>
      <c r="D872" s="827" t="s">
        <v>38</v>
      </c>
      <c r="E872" s="822">
        <v>201.46</v>
      </c>
      <c r="F872" s="823">
        <f t="shared" ref="F872:F874" si="400">C872*E872</f>
        <v>842565.16983869998</v>
      </c>
      <c r="G872" s="832">
        <v>4182.2950949999995</v>
      </c>
      <c r="H872" s="832"/>
      <c r="I872" s="642"/>
      <c r="J872" s="643">
        <f>I872/C872</f>
        <v>0</v>
      </c>
      <c r="K872" s="636">
        <v>842565.16983869998</v>
      </c>
      <c r="L872" s="636">
        <f>H872*E872</f>
        <v>0</v>
      </c>
      <c r="M872" s="824">
        <f>K872+L872</f>
        <v>842565.16983869998</v>
      </c>
    </row>
    <row r="873" spans="1:13" ht="26.25">
      <c r="A873" s="833">
        <f>A872+0.01</f>
        <v>3.0199999999999996</v>
      </c>
      <c r="B873" s="819" t="s">
        <v>712</v>
      </c>
      <c r="C873" s="828">
        <v>6598.6636234999996</v>
      </c>
      <c r="D873" s="827" t="s">
        <v>38</v>
      </c>
      <c r="E873" s="822">
        <v>351.21</v>
      </c>
      <c r="F873" s="823">
        <f t="shared" si="400"/>
        <v>2317516.651209435</v>
      </c>
      <c r="G873" s="832">
        <v>6598.6636234999996</v>
      </c>
      <c r="H873" s="832"/>
      <c r="I873" s="642"/>
      <c r="J873" s="643">
        <f>I873/C873</f>
        <v>0</v>
      </c>
      <c r="K873" s="636">
        <v>2317516.651209435</v>
      </c>
      <c r="L873" s="636">
        <f>H873*E873</f>
        <v>0</v>
      </c>
      <c r="M873" s="824">
        <f>K873+L873</f>
        <v>2317516.651209435</v>
      </c>
    </row>
    <row r="874" spans="1:13">
      <c r="A874" s="829">
        <f>A873+0.01</f>
        <v>3.0299999999999994</v>
      </c>
      <c r="B874" s="819" t="s">
        <v>713</v>
      </c>
      <c r="C874" s="828">
        <v>1373.4342764999999</v>
      </c>
      <c r="D874" s="827" t="s">
        <v>38</v>
      </c>
      <c r="E874" s="822">
        <v>1480.1</v>
      </c>
      <c r="F874" s="823">
        <f t="shared" si="400"/>
        <v>2032820.0726476498</v>
      </c>
      <c r="G874" s="832">
        <v>1373.4342764999999</v>
      </c>
      <c r="H874" s="832"/>
      <c r="I874" s="642"/>
      <c r="J874" s="643">
        <f>I874/C874</f>
        <v>0</v>
      </c>
      <c r="K874" s="636">
        <v>2032820.0726476498</v>
      </c>
      <c r="L874" s="636">
        <f>H874*E874</f>
        <v>0</v>
      </c>
      <c r="M874" s="824">
        <f>K874+L874</f>
        <v>2032820.0726476498</v>
      </c>
    </row>
    <row r="875" spans="1:13">
      <c r="A875" s="829"/>
      <c r="B875" s="812" t="s">
        <v>44</v>
      </c>
      <c r="C875" s="834"/>
      <c r="D875" s="835"/>
      <c r="E875" s="836"/>
      <c r="F875" s="837">
        <f>SUM(F872:F874)</f>
        <v>5192901.8936957847</v>
      </c>
      <c r="G875" s="830"/>
      <c r="H875" s="830"/>
      <c r="I875" s="830"/>
      <c r="J875" s="830"/>
      <c r="K875" s="657">
        <f>+SUBTOTAL(9,K872:K874)</f>
        <v>5192901.8936957847</v>
      </c>
      <c r="L875" s="657">
        <f t="shared" ref="L875:M875" si="401">+SUBTOTAL(9,L872:L874)</f>
        <v>0</v>
      </c>
      <c r="M875" s="657">
        <f t="shared" si="401"/>
        <v>5192901.8936957847</v>
      </c>
    </row>
    <row r="876" spans="1:13">
      <c r="A876" s="811">
        <v>4</v>
      </c>
      <c r="B876" s="825" t="s">
        <v>714</v>
      </c>
      <c r="C876" s="834"/>
      <c r="D876" s="835"/>
      <c r="E876" s="836"/>
      <c r="F876" s="838"/>
      <c r="G876" s="816"/>
      <c r="H876" s="816"/>
      <c r="I876" s="816"/>
      <c r="J876" s="816"/>
      <c r="K876" s="817"/>
      <c r="L876" s="817"/>
      <c r="M876" s="817"/>
    </row>
    <row r="877" spans="1:13">
      <c r="A877" s="829">
        <f>A876+0.01</f>
        <v>4.01</v>
      </c>
      <c r="B877" s="819" t="s">
        <v>715</v>
      </c>
      <c r="C877" s="834">
        <v>8.4</v>
      </c>
      <c r="D877" s="827" t="s">
        <v>38</v>
      </c>
      <c r="E877" s="836">
        <v>21597.32</v>
      </c>
      <c r="F877" s="823">
        <f t="shared" ref="F877:F878" si="402">C877*E877</f>
        <v>181417.48800000001</v>
      </c>
      <c r="G877" s="832">
        <v>8.4</v>
      </c>
      <c r="H877" s="832"/>
      <c r="I877" s="642"/>
      <c r="J877" s="643">
        <f>I877/C877</f>
        <v>0</v>
      </c>
      <c r="K877" s="636">
        <v>181417.48800000001</v>
      </c>
      <c r="L877" s="636">
        <f>H877*E877</f>
        <v>0</v>
      </c>
      <c r="M877" s="824">
        <f>K877+L877</f>
        <v>181417.48800000001</v>
      </c>
    </row>
    <row r="878" spans="1:13">
      <c r="A878" s="829">
        <f>A877+0.01</f>
        <v>4.0199999999999996</v>
      </c>
      <c r="B878" s="813" t="s">
        <v>716</v>
      </c>
      <c r="C878" s="834">
        <v>3.39</v>
      </c>
      <c r="D878" s="827" t="s">
        <v>38</v>
      </c>
      <c r="E878" s="836">
        <v>17130.810000000001</v>
      </c>
      <c r="F878" s="823">
        <f t="shared" si="402"/>
        <v>58073.445900000006</v>
      </c>
      <c r="G878" s="832">
        <v>3.39</v>
      </c>
      <c r="H878" s="832"/>
      <c r="I878" s="642"/>
      <c r="J878" s="643">
        <f>I878/C878</f>
        <v>0</v>
      </c>
      <c r="K878" s="636">
        <v>58073.445900000006</v>
      </c>
      <c r="L878" s="636">
        <f>H878*E878</f>
        <v>0</v>
      </c>
      <c r="M878" s="824">
        <f>K878+L878</f>
        <v>58073.445900000006</v>
      </c>
    </row>
    <row r="879" spans="1:13">
      <c r="A879" s="829"/>
      <c r="B879" s="812" t="s">
        <v>44</v>
      </c>
      <c r="C879" s="834"/>
      <c r="D879" s="835"/>
      <c r="E879" s="836"/>
      <c r="F879" s="839">
        <f>SUM(F877:F878)</f>
        <v>239490.9339</v>
      </c>
      <c r="G879" s="830"/>
      <c r="H879" s="830"/>
      <c r="I879" s="830"/>
      <c r="J879" s="830"/>
      <c r="K879" s="657">
        <f>+SUBTOTAL(9,K876:K878)</f>
        <v>239490.9339</v>
      </c>
      <c r="L879" s="657">
        <f>+SUBTOTAL(9,L876:L878)</f>
        <v>0</v>
      </c>
      <c r="M879" s="657">
        <f>+SUBTOTAL(9,M876:M878)</f>
        <v>239490.9339</v>
      </c>
    </row>
    <row r="880" spans="1:13">
      <c r="A880" s="811">
        <v>5</v>
      </c>
      <c r="B880" s="825" t="s">
        <v>717</v>
      </c>
      <c r="C880" s="813"/>
      <c r="D880" s="814"/>
      <c r="E880" s="840"/>
      <c r="F880" s="841"/>
      <c r="G880" s="816"/>
      <c r="H880" s="816"/>
      <c r="I880" s="816"/>
      <c r="J880" s="816"/>
      <c r="K880" s="817"/>
      <c r="L880" s="817"/>
      <c r="M880" s="817"/>
    </row>
    <row r="881" spans="1:140">
      <c r="A881" s="818">
        <f>A880+0.01</f>
        <v>5.01</v>
      </c>
      <c r="B881" s="819" t="s">
        <v>715</v>
      </c>
      <c r="C881" s="813">
        <v>9.870000000000001</v>
      </c>
      <c r="D881" s="827" t="s">
        <v>38</v>
      </c>
      <c r="E881" s="840">
        <v>21597.32</v>
      </c>
      <c r="F881" s="823">
        <f t="shared" ref="F881:F883" si="403">C881*E881</f>
        <v>213165.54840000003</v>
      </c>
      <c r="G881" s="832">
        <v>9.870000000000001</v>
      </c>
      <c r="H881" s="832"/>
      <c r="I881" s="642"/>
      <c r="J881" s="643">
        <f>I881/C881</f>
        <v>0</v>
      </c>
      <c r="K881" s="636">
        <v>213165.54840000003</v>
      </c>
      <c r="L881" s="636">
        <f>H881*E881</f>
        <v>0</v>
      </c>
      <c r="M881" s="824">
        <f>K881+L881</f>
        <v>213165.54840000003</v>
      </c>
    </row>
    <row r="882" spans="1:140">
      <c r="A882" s="818">
        <f>A881+0.01</f>
        <v>5.0199999999999996</v>
      </c>
      <c r="B882" s="813" t="s">
        <v>716</v>
      </c>
      <c r="C882" s="813">
        <v>0.91499999999999992</v>
      </c>
      <c r="D882" s="827" t="s">
        <v>38</v>
      </c>
      <c r="E882" s="840">
        <v>17130.810000000001</v>
      </c>
      <c r="F882" s="823">
        <f t="shared" si="403"/>
        <v>15674.691150000001</v>
      </c>
      <c r="G882" s="832">
        <v>0.91499999999999992</v>
      </c>
      <c r="H882" s="832"/>
      <c r="I882" s="642"/>
      <c r="J882" s="643">
        <f>I882/C882</f>
        <v>0</v>
      </c>
      <c r="K882" s="636">
        <v>15674.691150000001</v>
      </c>
      <c r="L882" s="636">
        <f>H882*E882</f>
        <v>0</v>
      </c>
      <c r="M882" s="824">
        <f>K882+L882</f>
        <v>15674.691150000001</v>
      </c>
    </row>
    <row r="883" spans="1:140">
      <c r="A883" s="818">
        <f>A882+0.01</f>
        <v>5.0299999999999994</v>
      </c>
      <c r="B883" s="813" t="s">
        <v>718</v>
      </c>
      <c r="C883" s="813">
        <v>2.2250000000000001</v>
      </c>
      <c r="D883" s="827" t="s">
        <v>38</v>
      </c>
      <c r="E883" s="840">
        <v>30028.76</v>
      </c>
      <c r="F883" s="823">
        <f t="shared" si="403"/>
        <v>66813.990999999995</v>
      </c>
      <c r="G883" s="832">
        <v>2.2250000000000001</v>
      </c>
      <c r="H883" s="832"/>
      <c r="I883" s="642"/>
      <c r="J883" s="643">
        <f>I883/C883</f>
        <v>0</v>
      </c>
      <c r="K883" s="636">
        <v>66813.990999999995</v>
      </c>
      <c r="L883" s="636">
        <f>H883*E883</f>
        <v>0</v>
      </c>
      <c r="M883" s="824">
        <f>K883+L883</f>
        <v>66813.990999999995</v>
      </c>
    </row>
    <row r="884" spans="1:140">
      <c r="A884" s="818"/>
      <c r="B884" s="812" t="s">
        <v>44</v>
      </c>
      <c r="C884" s="813"/>
      <c r="D884" s="814"/>
      <c r="E884" s="813"/>
      <c r="F884" s="839">
        <f>SUM(F881:F883)</f>
        <v>295654.23055000004</v>
      </c>
      <c r="G884" s="832"/>
      <c r="H884" s="832"/>
      <c r="I884" s="642"/>
      <c r="J884" s="643"/>
      <c r="K884" s="657">
        <f>+SUBTOTAL(9,K881:K883)</f>
        <v>295654.23055000004</v>
      </c>
      <c r="L884" s="657">
        <f t="shared" ref="L884:M884" si="404">+SUBTOTAL(9,L881:L883)</f>
        <v>0</v>
      </c>
      <c r="M884" s="657">
        <f t="shared" si="404"/>
        <v>295654.23055000004</v>
      </c>
    </row>
    <row r="885" spans="1:140" ht="26.25">
      <c r="A885" s="811">
        <v>6</v>
      </c>
      <c r="B885" s="812" t="s">
        <v>719</v>
      </c>
      <c r="C885" s="813"/>
      <c r="D885" s="814"/>
      <c r="E885" s="813"/>
      <c r="F885" s="837"/>
      <c r="G885" s="832"/>
      <c r="H885" s="832"/>
      <c r="I885" s="642"/>
      <c r="J885" s="643"/>
      <c r="K885" s="842"/>
      <c r="L885" s="843"/>
      <c r="M885" s="843"/>
    </row>
    <row r="886" spans="1:140">
      <c r="A886" s="818">
        <f>A885+0.01</f>
        <v>6.01</v>
      </c>
      <c r="B886" s="813" t="s">
        <v>720</v>
      </c>
      <c r="C886" s="813">
        <v>1</v>
      </c>
      <c r="D886" s="814" t="s">
        <v>128</v>
      </c>
      <c r="E886" s="840">
        <v>3150000</v>
      </c>
      <c r="F886" s="844">
        <f t="shared" ref="F886:F888" si="405">C886*E886</f>
        <v>3150000</v>
      </c>
      <c r="G886" s="832">
        <v>1</v>
      </c>
      <c r="H886" s="832"/>
      <c r="I886" s="642"/>
      <c r="J886" s="643">
        <f t="shared" ref="J886:J888" si="406">I886/C886</f>
        <v>0</v>
      </c>
      <c r="K886" s="636">
        <v>3150000</v>
      </c>
      <c r="L886" s="636">
        <v>0</v>
      </c>
      <c r="M886" s="824">
        <f>K886+L886</f>
        <v>3150000</v>
      </c>
    </row>
    <row r="887" spans="1:140">
      <c r="A887" s="818">
        <f t="shared" ref="A887:A888" si="407">A886+0.01</f>
        <v>6.02</v>
      </c>
      <c r="B887" s="813" t="s">
        <v>721</v>
      </c>
      <c r="C887" s="813">
        <v>1</v>
      </c>
      <c r="D887" s="814" t="s">
        <v>128</v>
      </c>
      <c r="E887" s="840">
        <v>75000</v>
      </c>
      <c r="F887" s="844">
        <f t="shared" si="405"/>
        <v>75000</v>
      </c>
      <c r="G887" s="832">
        <v>1</v>
      </c>
      <c r="H887" s="832"/>
      <c r="I887" s="642"/>
      <c r="J887" s="643">
        <f t="shared" si="406"/>
        <v>0</v>
      </c>
      <c r="K887" s="636">
        <v>75000</v>
      </c>
      <c r="L887" s="636">
        <v>0</v>
      </c>
      <c r="M887" s="824">
        <f t="shared" ref="M887:M888" si="408">K887+L887</f>
        <v>75000</v>
      </c>
    </row>
    <row r="888" spans="1:140" ht="26.25">
      <c r="A888" s="818">
        <f t="shared" si="407"/>
        <v>6.0299999999999994</v>
      </c>
      <c r="B888" s="813" t="s">
        <v>722</v>
      </c>
      <c r="C888" s="813">
        <v>1</v>
      </c>
      <c r="D888" s="814" t="s">
        <v>128</v>
      </c>
      <c r="E888" s="840">
        <v>750000</v>
      </c>
      <c r="F888" s="844">
        <f t="shared" si="405"/>
        <v>750000</v>
      </c>
      <c r="G888" s="832">
        <v>0.45</v>
      </c>
      <c r="H888" s="832"/>
      <c r="I888" s="642"/>
      <c r="J888" s="643">
        <f t="shared" si="406"/>
        <v>0</v>
      </c>
      <c r="K888" s="636">
        <v>562500</v>
      </c>
      <c r="L888" s="636">
        <v>0</v>
      </c>
      <c r="M888" s="824">
        <f t="shared" si="408"/>
        <v>562500</v>
      </c>
    </row>
    <row r="889" spans="1:140">
      <c r="A889" s="845"/>
      <c r="B889" s="812" t="s">
        <v>44</v>
      </c>
      <c r="C889" s="813"/>
      <c r="D889" s="814"/>
      <c r="E889" s="840"/>
      <c r="F889" s="846">
        <f>SUM(F886:F888)</f>
        <v>3975000</v>
      </c>
      <c r="G889" s="830"/>
      <c r="H889" s="830"/>
      <c r="I889" s="830"/>
      <c r="J889" s="830"/>
      <c r="K889" s="657">
        <f>+SUBTOTAL(9,K886:K888)</f>
        <v>3787500</v>
      </c>
      <c r="L889" s="657">
        <f t="shared" ref="L889:M889" si="409">+SUBTOTAL(9,L886:L888)</f>
        <v>0</v>
      </c>
      <c r="M889" s="657">
        <f t="shared" si="409"/>
        <v>3787500</v>
      </c>
    </row>
    <row r="890" spans="1:140">
      <c r="A890" s="847"/>
      <c r="B890" s="848" t="s">
        <v>723</v>
      </c>
      <c r="C890" s="416"/>
      <c r="D890" s="761"/>
      <c r="E890" s="416"/>
      <c r="F890" s="849"/>
      <c r="G890" s="416"/>
      <c r="H890" s="416"/>
      <c r="I890" s="416"/>
      <c r="J890" s="416"/>
      <c r="K890" s="850">
        <f>+SUBTOTAL(9,K859:K889)</f>
        <v>12817673.622172035</v>
      </c>
      <c r="L890" s="850">
        <f>L864++L870+L875+L879+L884+L889</f>
        <v>0</v>
      </c>
      <c r="M890" s="850">
        <f>K890+L890</f>
        <v>12817673.622172035</v>
      </c>
      <c r="N890" s="851">
        <f>K890+K326</f>
        <v>38946187.410472028</v>
      </c>
    </row>
    <row r="891" spans="1:140">
      <c r="A891" s="847"/>
      <c r="B891" s="757"/>
      <c r="C891" s="416"/>
      <c r="D891" s="761"/>
      <c r="E891" s="416"/>
      <c r="F891" s="849"/>
      <c r="G891" s="416"/>
      <c r="H891" s="416"/>
      <c r="I891" s="416"/>
      <c r="J891" s="416"/>
      <c r="K891" s="850"/>
      <c r="L891" s="850"/>
      <c r="M891" s="850"/>
    </row>
    <row r="892" spans="1:140" s="801" customFormat="1">
      <c r="A892" s="797"/>
      <c r="B892" s="1125" t="s">
        <v>724</v>
      </c>
      <c r="C892" s="1125"/>
      <c r="D892" s="1125"/>
      <c r="E892" s="1125"/>
      <c r="F892" s="1125"/>
      <c r="G892" s="1125"/>
      <c r="H892" s="799"/>
      <c r="I892" s="799"/>
      <c r="J892" s="799"/>
      <c r="K892" s="799"/>
      <c r="L892" s="799"/>
      <c r="M892" s="799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  <c r="EI892"/>
      <c r="EJ892"/>
    </row>
    <row r="893" spans="1:140">
      <c r="A893" s="802"/>
      <c r="B893" s="802" t="s">
        <v>700</v>
      </c>
      <c r="C893" s="803"/>
      <c r="D893" s="802"/>
      <c r="E893" s="803"/>
      <c r="F893" s="804"/>
      <c r="G893" s="805" t="s">
        <v>22</v>
      </c>
      <c r="H893" s="805" t="s">
        <v>23</v>
      </c>
      <c r="I893" s="806" t="s">
        <v>24</v>
      </c>
      <c r="J893" s="453" t="s">
        <v>25</v>
      </c>
      <c r="K893" s="454" t="s">
        <v>22</v>
      </c>
      <c r="L893" s="807" t="s">
        <v>23</v>
      </c>
      <c r="M893" s="807" t="s">
        <v>24</v>
      </c>
    </row>
    <row r="894" spans="1:140">
      <c r="A894" s="449" t="s">
        <v>16</v>
      </c>
      <c r="B894" s="449" t="s">
        <v>17</v>
      </c>
      <c r="C894" s="449" t="s">
        <v>32</v>
      </c>
      <c r="D894" s="449" t="s">
        <v>94</v>
      </c>
      <c r="E894" s="449" t="s">
        <v>701</v>
      </c>
      <c r="F894" s="808" t="s">
        <v>21</v>
      </c>
      <c r="G894" s="809"/>
      <c r="H894" s="809"/>
      <c r="I894" s="809"/>
      <c r="J894" s="809"/>
      <c r="K894" s="810"/>
      <c r="L894" s="810"/>
      <c r="M894" s="810"/>
    </row>
    <row r="895" spans="1:140">
      <c r="A895" s="449"/>
      <c r="B895" s="449" t="s">
        <v>702</v>
      </c>
      <c r="C895" s="449"/>
      <c r="D895" s="449"/>
      <c r="E895" s="449"/>
      <c r="F895" s="808"/>
      <c r="G895" s="809"/>
      <c r="H895" s="809"/>
      <c r="I895" s="809"/>
      <c r="J895" s="809"/>
      <c r="K895" s="810"/>
      <c r="L895" s="810"/>
      <c r="M895" s="810"/>
    </row>
    <row r="896" spans="1:140">
      <c r="A896" s="811">
        <v>1</v>
      </c>
      <c r="B896" s="812" t="s">
        <v>703</v>
      </c>
      <c r="C896" s="813"/>
      <c r="D896" s="814"/>
      <c r="E896" s="813"/>
      <c r="F896" s="815"/>
      <c r="G896" s="816"/>
      <c r="H896" s="816"/>
      <c r="I896" s="816"/>
      <c r="J896" s="816"/>
      <c r="K896" s="817"/>
      <c r="L896" s="817"/>
      <c r="M896" s="817"/>
    </row>
    <row r="897" spans="1:13">
      <c r="A897" s="818">
        <v>1.01</v>
      </c>
      <c r="B897" s="819" t="s">
        <v>593</v>
      </c>
      <c r="C897" s="820">
        <v>101.30875</v>
      </c>
      <c r="D897" s="821" t="s">
        <v>38</v>
      </c>
      <c r="E897" s="822">
        <v>4878.3133100484029</v>
      </c>
      <c r="F897" s="823">
        <f>C897*E897</f>
        <v>494215.82354936615</v>
      </c>
      <c r="G897" s="632"/>
      <c r="H897" s="632">
        <f>+C897</f>
        <v>101.30875</v>
      </c>
      <c r="I897" s="642"/>
      <c r="J897" s="643">
        <f>I897/C897</f>
        <v>0</v>
      </c>
      <c r="K897" s="636"/>
      <c r="L897" s="636">
        <f>H897*E897</f>
        <v>494215.82354936615</v>
      </c>
      <c r="M897" s="824">
        <f>K897+L897</f>
        <v>494215.82354936615</v>
      </c>
    </row>
    <row r="898" spans="1:13">
      <c r="A898" s="818"/>
      <c r="B898" s="825" t="s">
        <v>44</v>
      </c>
      <c r="C898" s="820"/>
      <c r="D898" s="821"/>
      <c r="E898" s="822"/>
      <c r="F898" s="826">
        <f>+SUBTOTAL(9,F897)</f>
        <v>494215.82354936615</v>
      </c>
      <c r="G898" s="816"/>
      <c r="H898" s="816"/>
      <c r="I898" s="816"/>
      <c r="J898" s="816"/>
      <c r="K898" s="826">
        <f>+SUBTOTAL(9,K897)</f>
        <v>0</v>
      </c>
      <c r="L898" s="826">
        <f t="shared" ref="L898:M898" si="410">+SUBTOTAL(9,L897)</f>
        <v>494215.82354936615</v>
      </c>
      <c r="M898" s="826">
        <f t="shared" si="410"/>
        <v>494215.82354936615</v>
      </c>
    </row>
    <row r="899" spans="1:13">
      <c r="A899" s="811">
        <v>2</v>
      </c>
      <c r="B899" s="825" t="s">
        <v>705</v>
      </c>
      <c r="C899" s="820"/>
      <c r="D899" s="821"/>
      <c r="E899" s="822"/>
      <c r="F899" s="823"/>
      <c r="G899" s="816"/>
      <c r="H899" s="816"/>
      <c r="I899" s="816"/>
      <c r="J899" s="816"/>
      <c r="K899" s="817"/>
      <c r="L899" s="817"/>
      <c r="M899" s="817"/>
    </row>
    <row r="900" spans="1:13">
      <c r="A900" s="818">
        <v>2.4</v>
      </c>
      <c r="B900" s="819" t="s">
        <v>709</v>
      </c>
      <c r="C900" s="828">
        <v>1596.32</v>
      </c>
      <c r="D900" s="827" t="s">
        <v>38</v>
      </c>
      <c r="E900" s="822">
        <v>344.65000000000009</v>
      </c>
      <c r="F900" s="823">
        <f t="shared" ref="F900" si="411">C900*E900</f>
        <v>550171.68800000008</v>
      </c>
      <c r="G900" s="632"/>
      <c r="H900" s="632">
        <f>+C900</f>
        <v>1596.32</v>
      </c>
      <c r="I900" s="642"/>
      <c r="J900" s="643">
        <f>I900/C900</f>
        <v>0</v>
      </c>
      <c r="K900" s="636"/>
      <c r="L900" s="636">
        <f>H900*E900</f>
        <v>550171.68800000008</v>
      </c>
      <c r="M900" s="824">
        <f>K900+L900</f>
        <v>550171.68800000008</v>
      </c>
    </row>
    <row r="901" spans="1:13">
      <c r="A901" s="829"/>
      <c r="B901" s="825" t="s">
        <v>44</v>
      </c>
      <c r="C901" s="820"/>
      <c r="D901" s="821"/>
      <c r="E901" s="822"/>
      <c r="F901" s="826">
        <f>+SUBTOTAL(9,F900)</f>
        <v>550171.68800000008</v>
      </c>
      <c r="G901" s="830"/>
      <c r="H901" s="830"/>
      <c r="I901" s="830"/>
      <c r="J901" s="830"/>
      <c r="K901" s="826">
        <f>+SUBTOTAL(9,K900)</f>
        <v>0</v>
      </c>
      <c r="L901" s="826">
        <f t="shared" ref="L901:M901" si="412">+SUBTOTAL(9,L900)</f>
        <v>550171.68800000008</v>
      </c>
      <c r="M901" s="826">
        <f t="shared" si="412"/>
        <v>550171.68800000008</v>
      </c>
    </row>
    <row r="902" spans="1:13">
      <c r="A902" s="831">
        <v>3</v>
      </c>
      <c r="B902" s="825" t="s">
        <v>710</v>
      </c>
      <c r="C902" s="820"/>
      <c r="D902" s="821"/>
      <c r="E902" s="822"/>
      <c r="F902" s="823"/>
      <c r="G902" s="816"/>
      <c r="H902" s="816"/>
      <c r="I902" s="816"/>
      <c r="J902" s="816"/>
      <c r="K902" s="817"/>
      <c r="L902" s="817"/>
      <c r="M902" s="817"/>
    </row>
    <row r="903" spans="1:13" ht="26.25">
      <c r="A903" s="829">
        <f>A902+0.01</f>
        <v>3.01</v>
      </c>
      <c r="B903" s="819" t="s">
        <v>711</v>
      </c>
      <c r="C903" s="828">
        <v>4182.2950949999995</v>
      </c>
      <c r="D903" s="827" t="s">
        <v>38</v>
      </c>
      <c r="E903" s="822">
        <v>344.52428571428567</v>
      </c>
      <c r="F903" s="823">
        <f t="shared" ref="F903:F905" si="413">C903*E903</f>
        <v>1440902.2302512354</v>
      </c>
      <c r="G903" s="832"/>
      <c r="H903" s="632">
        <f>+C903</f>
        <v>4182.2950949999995</v>
      </c>
      <c r="I903" s="642"/>
      <c r="J903" s="643">
        <f>I903/C903</f>
        <v>0</v>
      </c>
      <c r="K903" s="636"/>
      <c r="L903" s="636">
        <f>H903*E903</f>
        <v>1440902.2302512354</v>
      </c>
      <c r="M903" s="824">
        <f>K903+L903</f>
        <v>1440902.2302512354</v>
      </c>
    </row>
    <row r="904" spans="1:13" ht="26.25">
      <c r="A904" s="833">
        <f>A903+0.01</f>
        <v>3.0199999999999996</v>
      </c>
      <c r="B904" s="819" t="s">
        <v>712</v>
      </c>
      <c r="C904" s="828">
        <v>6598.6636234999996</v>
      </c>
      <c r="D904" s="827" t="s">
        <v>38</v>
      </c>
      <c r="E904" s="822">
        <v>344.65000000000009</v>
      </c>
      <c r="F904" s="823">
        <f t="shared" si="413"/>
        <v>2274229.4178392757</v>
      </c>
      <c r="G904" s="832"/>
      <c r="H904" s="632">
        <f t="shared" ref="H904:H905" si="414">+C904</f>
        <v>6598.6636234999996</v>
      </c>
      <c r="I904" s="642"/>
      <c r="J904" s="643">
        <f>I904/C904</f>
        <v>0</v>
      </c>
      <c r="K904" s="636"/>
      <c r="L904" s="636">
        <f>H904*E904</f>
        <v>2274229.4178392757</v>
      </c>
      <c r="M904" s="824">
        <f>K904+L904</f>
        <v>2274229.4178392757</v>
      </c>
    </row>
    <row r="905" spans="1:13">
      <c r="A905" s="829">
        <f>A904+0.01</f>
        <v>3.0299999999999994</v>
      </c>
      <c r="B905" s="819" t="s">
        <v>713</v>
      </c>
      <c r="C905" s="828">
        <v>1373.4342764999999</v>
      </c>
      <c r="D905" s="827" t="s">
        <v>38</v>
      </c>
      <c r="E905" s="822">
        <v>2630.8500000000004</v>
      </c>
      <c r="F905" s="823">
        <f t="shared" si="413"/>
        <v>3613299.5663300254</v>
      </c>
      <c r="G905" s="832"/>
      <c r="H905" s="632">
        <f t="shared" si="414"/>
        <v>1373.4342764999999</v>
      </c>
      <c r="I905" s="642"/>
      <c r="J905" s="643">
        <f>I905/C905</f>
        <v>0</v>
      </c>
      <c r="K905" s="636"/>
      <c r="L905" s="636">
        <f>H905*E905</f>
        <v>3613299.5663300254</v>
      </c>
      <c r="M905" s="824">
        <f>K905+L905</f>
        <v>3613299.5663300254</v>
      </c>
    </row>
    <row r="906" spans="1:13">
      <c r="A906" s="829"/>
      <c r="B906" s="812" t="s">
        <v>44</v>
      </c>
      <c r="C906" s="834"/>
      <c r="D906" s="835"/>
      <c r="E906" s="836"/>
      <c r="F906" s="826">
        <f>+SUBTOTAL(9,F903:F905)</f>
        <v>7328431.2144205365</v>
      </c>
      <c r="G906" s="830"/>
      <c r="H906" s="830"/>
      <c r="I906" s="830"/>
      <c r="J906" s="830"/>
      <c r="K906" s="826">
        <f>+SUBTOTAL(9,K903:K905)</f>
        <v>0</v>
      </c>
      <c r="L906" s="826">
        <f t="shared" ref="L906:M906" si="415">+SUBTOTAL(9,L903:L905)</f>
        <v>7328431.2144205365</v>
      </c>
      <c r="M906" s="826">
        <f t="shared" si="415"/>
        <v>7328431.2144205365</v>
      </c>
    </row>
    <row r="907" spans="1:13">
      <c r="A907" s="811">
        <v>4</v>
      </c>
      <c r="B907" s="825" t="s">
        <v>714</v>
      </c>
      <c r="C907" s="834"/>
      <c r="D907" s="835"/>
      <c r="E907" s="836"/>
      <c r="F907" s="838"/>
      <c r="G907" s="816"/>
      <c r="H907" s="816"/>
      <c r="I907" s="816"/>
      <c r="J907" s="816"/>
      <c r="K907" s="817"/>
      <c r="L907" s="817"/>
      <c r="M907" s="817"/>
    </row>
    <row r="908" spans="1:13">
      <c r="A908" s="829">
        <f>A907+0.01</f>
        <v>4.01</v>
      </c>
      <c r="B908" s="819" t="s">
        <v>715</v>
      </c>
      <c r="C908" s="834">
        <v>8.4</v>
      </c>
      <c r="D908" s="827" t="s">
        <v>38</v>
      </c>
      <c r="E908" s="836">
        <v>4878.3133100484029</v>
      </c>
      <c r="F908" s="823">
        <f t="shared" ref="F908:F909" si="416">C908*E908</f>
        <v>40977.831804406589</v>
      </c>
      <c r="G908" s="832"/>
      <c r="H908" s="632">
        <f>+C908</f>
        <v>8.4</v>
      </c>
      <c r="I908" s="642"/>
      <c r="J908" s="643">
        <f>I908/C908</f>
        <v>0</v>
      </c>
      <c r="K908" s="636"/>
      <c r="L908" s="636">
        <f>H908*E908</f>
        <v>40977.831804406589</v>
      </c>
      <c r="M908" s="824">
        <f>K908+L908</f>
        <v>40977.831804406589</v>
      </c>
    </row>
    <row r="909" spans="1:13">
      <c r="A909" s="829">
        <f>A908+0.01</f>
        <v>4.0199999999999996</v>
      </c>
      <c r="B909" s="813" t="s">
        <v>716</v>
      </c>
      <c r="C909" s="834">
        <v>3.39</v>
      </c>
      <c r="D909" s="827" t="s">
        <v>38</v>
      </c>
      <c r="E909" s="836">
        <v>8712.8966666666602</v>
      </c>
      <c r="F909" s="823">
        <f t="shared" si="416"/>
        <v>29536.71969999998</v>
      </c>
      <c r="G909" s="832"/>
      <c r="H909" s="632">
        <f t="shared" ref="H909" si="417">+C909</f>
        <v>3.39</v>
      </c>
      <c r="I909" s="642"/>
      <c r="J909" s="643">
        <f>I909/C909</f>
        <v>0</v>
      </c>
      <c r="K909" s="636"/>
      <c r="L909" s="636">
        <f>H909*E909</f>
        <v>29536.71969999998</v>
      </c>
      <c r="M909" s="824">
        <f>K909+L909</f>
        <v>29536.71969999998</v>
      </c>
    </row>
    <row r="910" spans="1:13">
      <c r="A910" s="829"/>
      <c r="B910" s="812" t="s">
        <v>44</v>
      </c>
      <c r="C910" s="834"/>
      <c r="D910" s="835"/>
      <c r="E910" s="836"/>
      <c r="F910" s="826">
        <f>+SUBTOTAL(9,F908:F909)</f>
        <v>70514.551504406569</v>
      </c>
      <c r="G910" s="830"/>
      <c r="H910" s="830"/>
      <c r="I910" s="830"/>
      <c r="J910" s="830"/>
      <c r="K910" s="826">
        <f>+SUBTOTAL(9,K908:K909)</f>
        <v>0</v>
      </c>
      <c r="L910" s="826">
        <f t="shared" ref="L910:M910" si="418">+SUBTOTAL(9,L908:L909)</f>
        <v>70514.551504406569</v>
      </c>
      <c r="M910" s="826">
        <f t="shared" si="418"/>
        <v>70514.551504406569</v>
      </c>
    </row>
    <row r="911" spans="1:13">
      <c r="A911" s="811">
        <v>5</v>
      </c>
      <c r="B911" s="825" t="s">
        <v>717</v>
      </c>
      <c r="C911" s="813"/>
      <c r="D911" s="814"/>
      <c r="E911" s="840"/>
      <c r="F911" s="841"/>
      <c r="G911" s="816"/>
      <c r="H911" s="816"/>
      <c r="I911" s="816"/>
      <c r="J911" s="816"/>
      <c r="K911" s="817"/>
      <c r="L911" s="817"/>
      <c r="M911" s="817"/>
    </row>
    <row r="912" spans="1:13">
      <c r="A912" s="818">
        <f>A911+0.01</f>
        <v>5.01</v>
      </c>
      <c r="B912" s="819" t="s">
        <v>715</v>
      </c>
      <c r="C912" s="813">
        <v>9.870000000000001</v>
      </c>
      <c r="D912" s="827" t="s">
        <v>38</v>
      </c>
      <c r="E912" s="836">
        <v>4878.3133100484029</v>
      </c>
      <c r="F912" s="823">
        <f t="shared" ref="F912:F914" si="419">C912*E912</f>
        <v>48148.952370177743</v>
      </c>
      <c r="G912" s="832"/>
      <c r="H912" s="632">
        <f>+C912</f>
        <v>9.870000000000001</v>
      </c>
      <c r="I912" s="642"/>
      <c r="J912" s="643">
        <f>I912/C912</f>
        <v>0</v>
      </c>
      <c r="K912" s="636"/>
      <c r="L912" s="636">
        <f>H912*E912</f>
        <v>48148.952370177743</v>
      </c>
      <c r="M912" s="824">
        <f>K912+L912</f>
        <v>48148.952370177743</v>
      </c>
    </row>
    <row r="913" spans="1:13">
      <c r="A913" s="818">
        <f>A912+0.01</f>
        <v>5.0199999999999996</v>
      </c>
      <c r="B913" s="813" t="s">
        <v>716</v>
      </c>
      <c r="C913" s="813">
        <v>0.91499999999999992</v>
      </c>
      <c r="D913" s="827" t="s">
        <v>38</v>
      </c>
      <c r="E913" s="836">
        <v>8712.8966666666602</v>
      </c>
      <c r="F913" s="823">
        <f t="shared" si="419"/>
        <v>7972.3004499999934</v>
      </c>
      <c r="G913" s="832"/>
      <c r="H913" s="632">
        <f t="shared" ref="H913" si="420">+C913</f>
        <v>0.91499999999999992</v>
      </c>
      <c r="I913" s="642"/>
      <c r="J913" s="643">
        <f>I913/C913</f>
        <v>0</v>
      </c>
      <c r="K913" s="636"/>
      <c r="L913" s="636">
        <f>H913*E913</f>
        <v>7972.3004499999934</v>
      </c>
      <c r="M913" s="824">
        <f>K913+L913</f>
        <v>7972.3004499999934</v>
      </c>
    </row>
    <row r="914" spans="1:13">
      <c r="A914" s="818">
        <f>A913+0.01</f>
        <v>5.0299999999999994</v>
      </c>
      <c r="B914" s="813" t="s">
        <v>718</v>
      </c>
      <c r="C914" s="813">
        <v>2.2250000000000001</v>
      </c>
      <c r="D914" s="827" t="s">
        <v>38</v>
      </c>
      <c r="E914" s="840"/>
      <c r="F914" s="823">
        <f t="shared" si="419"/>
        <v>0</v>
      </c>
      <c r="G914" s="832"/>
      <c r="H914" s="832"/>
      <c r="I914" s="642"/>
      <c r="J914" s="643">
        <f>I914/C914</f>
        <v>0</v>
      </c>
      <c r="K914" s="636"/>
      <c r="L914" s="636">
        <f>H914*E914</f>
        <v>0</v>
      </c>
      <c r="M914" s="824">
        <f>K914+L914</f>
        <v>0</v>
      </c>
    </row>
    <row r="915" spans="1:13">
      <c r="A915" s="818"/>
      <c r="B915" s="812" t="s">
        <v>44</v>
      </c>
      <c r="C915" s="813"/>
      <c r="D915" s="814"/>
      <c r="E915" s="813"/>
      <c r="F915" s="826">
        <f>+SUBTOTAL(9,F912:F914)</f>
        <v>56121.252820177739</v>
      </c>
      <c r="G915" s="830"/>
      <c r="H915" s="830"/>
      <c r="I915" s="830"/>
      <c r="J915" s="830"/>
      <c r="K915" s="826">
        <f>+SUBTOTAL(9,K912:K914)</f>
        <v>0</v>
      </c>
      <c r="L915" s="826">
        <f t="shared" ref="L915:M915" si="421">+SUBTOTAL(9,L912:L914)</f>
        <v>56121.252820177739</v>
      </c>
      <c r="M915" s="826">
        <f t="shared" si="421"/>
        <v>56121.252820177739</v>
      </c>
    </row>
    <row r="916" spans="1:13">
      <c r="A916" s="847"/>
      <c r="B916" s="848" t="s">
        <v>723</v>
      </c>
      <c r="C916" s="416"/>
      <c r="D916" s="761"/>
      <c r="E916" s="416"/>
      <c r="F916" s="850">
        <f>+SUBTOTAL(9,F894:F915)</f>
        <v>8499454.5302944873</v>
      </c>
      <c r="G916" s="416"/>
      <c r="H916" s="416"/>
      <c r="I916" s="416"/>
      <c r="J916" s="416"/>
      <c r="K916" s="850">
        <f>+SUBTOTAL(9,K894:K915)</f>
        <v>0</v>
      </c>
      <c r="L916" s="850">
        <f>+SUBTOTAL(9,L894:L915)</f>
        <v>8499454.5302944873</v>
      </c>
      <c r="M916" s="850">
        <f>+SUBTOTAL(9,M894:M915)</f>
        <v>8499454.5302944873</v>
      </c>
    </row>
    <row r="917" spans="1:13">
      <c r="A917" s="847"/>
      <c r="B917" s="757"/>
      <c r="C917" s="416"/>
      <c r="D917" s="761"/>
      <c r="E917" s="416"/>
      <c r="F917" s="849"/>
      <c r="G917" s="416"/>
      <c r="H917" s="416"/>
      <c r="I917" s="416"/>
      <c r="J917" s="416"/>
      <c r="K917" s="850"/>
      <c r="L917" s="850"/>
      <c r="M917" s="850"/>
    </row>
    <row r="918" spans="1:13">
      <c r="A918" s="847"/>
      <c r="B918" s="757"/>
      <c r="C918" s="416"/>
      <c r="D918" s="761"/>
      <c r="E918" s="416"/>
      <c r="F918" s="849"/>
      <c r="G918" s="416"/>
      <c r="H918" s="416"/>
      <c r="I918" s="416"/>
      <c r="J918" s="416"/>
      <c r="K918" s="850"/>
      <c r="L918" s="850"/>
      <c r="M918" s="850"/>
    </row>
    <row r="919" spans="1:13">
      <c r="A919" s="761"/>
      <c r="B919" s="1065" t="s">
        <v>0</v>
      </c>
      <c r="C919" s="1065"/>
      <c r="D919" s="1065"/>
      <c r="E919" s="1065"/>
      <c r="F919" s="1065"/>
      <c r="G919" s="1065"/>
      <c r="H919" s="1065"/>
      <c r="I919" s="1065"/>
      <c r="J919" s="1065"/>
      <c r="K919" s="1065"/>
      <c r="L919" s="1065"/>
      <c r="M919" s="1065"/>
    </row>
    <row r="920" spans="1:13">
      <c r="A920" s="761"/>
      <c r="B920" s="1126" t="s">
        <v>1</v>
      </c>
      <c r="C920" s="1126"/>
      <c r="D920" s="1126"/>
      <c r="E920" s="1126"/>
      <c r="F920" s="1126"/>
      <c r="G920" s="1126"/>
      <c r="H920" s="1126"/>
      <c r="I920" s="1126"/>
      <c r="J920" s="1126"/>
      <c r="K920" s="1126"/>
      <c r="L920" s="1126"/>
      <c r="M920" s="1126"/>
    </row>
    <row r="921" spans="1:13">
      <c r="A921" s="761"/>
      <c r="B921" s="566"/>
      <c r="C921" s="566"/>
      <c r="D921" s="566"/>
      <c r="E921" s="566"/>
      <c r="F921" s="852"/>
      <c r="G921" s="566"/>
      <c r="H921" s="566"/>
      <c r="I921" s="566"/>
      <c r="J921" s="566"/>
      <c r="K921" s="566"/>
      <c r="L921" s="566"/>
      <c r="M921" s="853" t="s">
        <v>163</v>
      </c>
    </row>
    <row r="922" spans="1:13" ht="24.75">
      <c r="A922" s="761"/>
      <c r="B922" s="569" t="s">
        <v>2</v>
      </c>
      <c r="C922" s="1032" t="s">
        <v>570</v>
      </c>
      <c r="D922" s="1032"/>
      <c r="E922" s="1032"/>
      <c r="F922" s="1032"/>
      <c r="G922" s="1032"/>
      <c r="H922" s="1032"/>
      <c r="I922" s="1032"/>
      <c r="J922" s="564"/>
      <c r="K922" s="564"/>
      <c r="L922" s="443" t="s">
        <v>4</v>
      </c>
      <c r="M922" s="571" t="s">
        <v>571</v>
      </c>
    </row>
    <row r="923" spans="1:13">
      <c r="A923" s="761"/>
      <c r="B923" s="443" t="s">
        <v>5</v>
      </c>
      <c r="C923" s="5">
        <f>+C5</f>
        <v>4</v>
      </c>
      <c r="D923" s="568"/>
      <c r="E923" s="563"/>
      <c r="F923" s="443"/>
      <c r="G923" s="563"/>
      <c r="H923" s="564"/>
      <c r="I923" s="564"/>
      <c r="J923" s="564"/>
      <c r="K923" s="564"/>
      <c r="L923" s="443" t="s">
        <v>6</v>
      </c>
      <c r="M923" s="571">
        <v>12379572.51</v>
      </c>
    </row>
    <row r="924" spans="1:13">
      <c r="A924" s="761"/>
      <c r="B924" s="443" t="s">
        <v>7</v>
      </c>
      <c r="C924" s="1124">
        <f>+C6</f>
        <v>45539</v>
      </c>
      <c r="D924" s="1124"/>
      <c r="E924" s="563"/>
      <c r="F924" s="443"/>
      <c r="G924" s="572"/>
      <c r="H924" s="564"/>
      <c r="I924" s="854">
        <v>38831305.792879663</v>
      </c>
      <c r="J924" s="854"/>
      <c r="K924" s="854">
        <f>I924-H927</f>
        <v>-114881.61759236455</v>
      </c>
      <c r="L924" s="443" t="s">
        <v>9</v>
      </c>
      <c r="M924" s="573" t="s">
        <v>572</v>
      </c>
    </row>
    <row r="925" spans="1:13" ht="36.75">
      <c r="A925" s="761"/>
      <c r="B925" s="443" t="s">
        <v>11</v>
      </c>
      <c r="C925" s="563" t="s">
        <v>573</v>
      </c>
      <c r="D925" s="151"/>
      <c r="E925" s="563"/>
      <c r="F925" s="443"/>
      <c r="G925" s="563"/>
      <c r="H925" s="564"/>
      <c r="I925" s="564"/>
      <c r="J925" s="1129"/>
      <c r="K925" s="1129"/>
      <c r="L925" s="564"/>
      <c r="M925" s="564"/>
    </row>
    <row r="926" spans="1:13">
      <c r="A926" s="761"/>
      <c r="B926" s="443"/>
      <c r="C926" s="563"/>
      <c r="D926" s="151"/>
      <c r="E926" s="1065" t="s">
        <v>94</v>
      </c>
      <c r="F926" s="1065"/>
      <c r="G926" s="855"/>
      <c r="H926" s="1033" t="s">
        <v>22</v>
      </c>
      <c r="I926" s="1033"/>
      <c r="J926" s="1065" t="s">
        <v>23</v>
      </c>
      <c r="K926" s="1065"/>
      <c r="L926" s="1065" t="s">
        <v>24</v>
      </c>
      <c r="M926" s="1065"/>
    </row>
    <row r="927" spans="1:13" ht="15.95" customHeight="1">
      <c r="A927" s="761"/>
      <c r="B927" s="151" t="s">
        <v>725</v>
      </c>
      <c r="C927" s="563"/>
      <c r="D927" s="151"/>
      <c r="E927" s="1127">
        <f>F326+F855+F585+F423+F354+K890</f>
        <v>103949428.38925657</v>
      </c>
      <c r="F927" s="1127"/>
      <c r="G927" s="577"/>
      <c r="H927" s="1068">
        <f>K890+K326</f>
        <v>38946187.410472028</v>
      </c>
      <c r="I927" s="1068"/>
      <c r="J927" s="1068">
        <f>+L916+L585+L423+L354</f>
        <v>23659613.860195324</v>
      </c>
      <c r="K927" s="1068"/>
      <c r="L927" s="1068">
        <f>H927+J927</f>
        <v>62605801.270667352</v>
      </c>
      <c r="M927" s="1068"/>
    </row>
    <row r="928" spans="1:13">
      <c r="A928" s="761"/>
      <c r="B928" s="5"/>
      <c r="C928" s="563"/>
      <c r="D928" s="151"/>
      <c r="E928" s="565"/>
      <c r="F928" s="856"/>
      <c r="G928" s="565"/>
      <c r="H928" s="854"/>
      <c r="I928" s="854"/>
      <c r="J928" s="854"/>
      <c r="K928" s="854"/>
      <c r="L928" s="854"/>
      <c r="M928" s="854"/>
    </row>
    <row r="929" spans="1:14">
      <c r="A929" s="761"/>
      <c r="B929" s="5" t="s">
        <v>95</v>
      </c>
      <c r="C929" s="563"/>
      <c r="D929" s="761"/>
      <c r="E929" s="607"/>
      <c r="F929" s="857"/>
      <c r="G929" s="607"/>
      <c r="H929" s="854"/>
      <c r="I929" s="854"/>
      <c r="J929" s="854"/>
      <c r="K929" s="854"/>
      <c r="L929" s="854"/>
      <c r="M929" s="854"/>
      <c r="N929">
        <v>38946187.420000002</v>
      </c>
    </row>
    <row r="930" spans="1:14">
      <c r="A930" s="761"/>
      <c r="B930" s="5" t="s">
        <v>96</v>
      </c>
      <c r="C930" s="580"/>
      <c r="D930" s="580"/>
      <c r="E930" s="1128"/>
      <c r="F930" s="1128"/>
      <c r="G930" s="859"/>
      <c r="H930" s="854"/>
      <c r="I930" s="854"/>
      <c r="J930" s="854"/>
      <c r="K930" s="854"/>
      <c r="L930" s="854"/>
      <c r="M930" s="854"/>
    </row>
    <row r="931" spans="1:14">
      <c r="A931" s="761"/>
      <c r="B931" s="563" t="s">
        <v>98</v>
      </c>
      <c r="C931" s="580"/>
      <c r="D931" s="604">
        <v>0.03</v>
      </c>
      <c r="E931" s="1128">
        <f>D931*E927</f>
        <v>3118482.8516776967</v>
      </c>
      <c r="F931" s="1128"/>
      <c r="G931" s="859"/>
      <c r="H931" s="1128">
        <f>D931*H927</f>
        <v>1168385.6223141607</v>
      </c>
      <c r="I931" s="1128"/>
      <c r="J931" s="1130">
        <f>J927*D931</f>
        <v>709788.41580585972</v>
      </c>
      <c r="K931" s="1130"/>
      <c r="L931" s="1130">
        <f>J931+H931</f>
        <v>1878174.0381200204</v>
      </c>
      <c r="M931" s="1130"/>
    </row>
    <row r="932" spans="1:14">
      <c r="A932" s="761"/>
      <c r="B932" s="563" t="s">
        <v>97</v>
      </c>
      <c r="C932" s="580"/>
      <c r="D932" s="582">
        <v>0.1</v>
      </c>
      <c r="E932" s="1128">
        <f>D932*E927</f>
        <v>10394942.838925658</v>
      </c>
      <c r="F932" s="1128"/>
      <c r="G932" s="859"/>
      <c r="H932" s="1128">
        <f>D932*H927</f>
        <v>3894618.7410472031</v>
      </c>
      <c r="I932" s="1128"/>
      <c r="J932" s="1130">
        <f>J927*D932</f>
        <v>2365961.3860195326</v>
      </c>
      <c r="K932" s="1130"/>
      <c r="L932" s="1130">
        <f t="shared" ref="L932:L936" si="422">J932+H932</f>
        <v>6260580.1270667352</v>
      </c>
      <c r="M932" s="1130"/>
      <c r="N932" s="860">
        <f>N929-H927</f>
        <v>9.5279738306999207E-3</v>
      </c>
    </row>
    <row r="933" spans="1:14">
      <c r="A933" s="761"/>
      <c r="B933" s="563" t="s">
        <v>103</v>
      </c>
      <c r="C933" s="580"/>
      <c r="D933" s="582">
        <v>0.18</v>
      </c>
      <c r="E933" s="1128">
        <f>D933*E932</f>
        <v>1871089.7110066183</v>
      </c>
      <c r="F933" s="1128"/>
      <c r="G933" s="859"/>
      <c r="H933" s="1128">
        <f>D933*H932</f>
        <v>701031.37338849658</v>
      </c>
      <c r="I933" s="1128"/>
      <c r="J933" s="1130">
        <f>J932*D933</f>
        <v>425873.04948351585</v>
      </c>
      <c r="K933" s="1130"/>
      <c r="L933" s="1130">
        <f t="shared" si="422"/>
        <v>1126904.4228720125</v>
      </c>
      <c r="M933" s="1130"/>
    </row>
    <row r="934" spans="1:14">
      <c r="A934" s="761"/>
      <c r="B934" s="563" t="s">
        <v>100</v>
      </c>
      <c r="C934" s="582"/>
      <c r="D934" s="861">
        <v>0.03</v>
      </c>
      <c r="E934" s="1128">
        <f>D934*E927</f>
        <v>3118482.8516776967</v>
      </c>
      <c r="F934" s="1128"/>
      <c r="G934" s="859"/>
      <c r="H934" s="1130">
        <f>D934*H927</f>
        <v>1168385.6223141607</v>
      </c>
      <c r="I934" s="1130"/>
      <c r="J934" s="1130">
        <f>J927*D934</f>
        <v>709788.41580585972</v>
      </c>
      <c r="K934" s="1130"/>
      <c r="L934" s="1130">
        <f t="shared" si="422"/>
        <v>1878174.0381200204</v>
      </c>
      <c r="M934" s="1130"/>
    </row>
    <row r="935" spans="1:14">
      <c r="A935" s="761"/>
      <c r="B935" s="563" t="s">
        <v>168</v>
      </c>
      <c r="C935" s="580"/>
      <c r="D935" s="580">
        <v>0.02</v>
      </c>
      <c r="E935" s="1128">
        <f>D935*E927</f>
        <v>2078988.5677851313</v>
      </c>
      <c r="F935" s="1128"/>
      <c r="G935" s="859"/>
      <c r="H935" s="1130">
        <f>D935*H927</f>
        <v>778923.74820944062</v>
      </c>
      <c r="I935" s="1130"/>
      <c r="J935" s="1130">
        <f>J927*D935</f>
        <v>473192.2772039065</v>
      </c>
      <c r="K935" s="1130"/>
      <c r="L935" s="1130">
        <f t="shared" si="422"/>
        <v>1252116.0254133472</v>
      </c>
      <c r="M935" s="1130"/>
    </row>
    <row r="936" spans="1:14">
      <c r="A936" s="761"/>
      <c r="B936" s="563" t="s">
        <v>101</v>
      </c>
      <c r="C936" s="580"/>
      <c r="D936" s="582">
        <v>0.01</v>
      </c>
      <c r="E936" s="1128">
        <f>D936*E927</f>
        <v>1039494.2838925656</v>
      </c>
      <c r="F936" s="1128"/>
      <c r="G936" s="859"/>
      <c r="H936" s="1130">
        <f>D936*H927</f>
        <v>389461.87410472031</v>
      </c>
      <c r="I936" s="1130"/>
      <c r="J936" s="1130">
        <f>J927*D936</f>
        <v>236596.13860195325</v>
      </c>
      <c r="K936" s="1130"/>
      <c r="L936" s="1130">
        <f t="shared" si="422"/>
        <v>626058.01270667359</v>
      </c>
      <c r="M936" s="1130"/>
    </row>
    <row r="937" spans="1:14">
      <c r="A937" s="761"/>
      <c r="B937" s="563" t="s">
        <v>102</v>
      </c>
      <c r="C937" s="580"/>
      <c r="D937" s="580">
        <v>1E-3</v>
      </c>
      <c r="E937" s="1128">
        <f>D937*E927</f>
        <v>103949.42838925657</v>
      </c>
      <c r="F937" s="1128"/>
      <c r="G937" s="859"/>
      <c r="H937" s="1128">
        <f>D937*H927</f>
        <v>38946.187410472026</v>
      </c>
      <c r="I937" s="1128"/>
      <c r="J937" s="1130">
        <f>J927*D937</f>
        <v>23659.613860195324</v>
      </c>
      <c r="K937" s="1130"/>
      <c r="L937" s="1130">
        <f>J937+H937</f>
        <v>62605.801270667347</v>
      </c>
      <c r="M937" s="1130"/>
    </row>
    <row r="938" spans="1:14">
      <c r="A938" s="761"/>
      <c r="B938" s="563"/>
      <c r="C938" s="580"/>
      <c r="D938" s="582"/>
      <c r="E938" s="1128"/>
      <c r="F938" s="1128"/>
      <c r="G938" s="859"/>
      <c r="H938" s="1128"/>
      <c r="I938" s="1128"/>
      <c r="J938" s="859"/>
      <c r="K938" s="859"/>
      <c r="L938" s="1130"/>
      <c r="M938" s="1130"/>
    </row>
    <row r="939" spans="1:14">
      <c r="A939" s="761"/>
      <c r="B939" s="563" t="s">
        <v>726</v>
      </c>
      <c r="C939" s="588"/>
      <c r="D939" s="582">
        <v>0.05</v>
      </c>
      <c r="E939" s="1128">
        <f>D939*E927</f>
        <v>5197471.4194628289</v>
      </c>
      <c r="F939" s="1128"/>
      <c r="G939" s="859"/>
      <c r="H939" s="1128"/>
      <c r="I939" s="1128"/>
      <c r="J939" s="1131"/>
      <c r="K939" s="1131"/>
      <c r="L939" s="1132"/>
      <c r="M939" s="1132"/>
    </row>
    <row r="940" spans="1:14">
      <c r="A940" s="761"/>
      <c r="B940" s="563"/>
      <c r="C940" s="588"/>
      <c r="D940" s="582"/>
      <c r="E940" s="858"/>
      <c r="F940" s="864"/>
      <c r="G940" s="859"/>
      <c r="H940" s="863"/>
      <c r="I940" s="863"/>
      <c r="J940" s="862"/>
      <c r="K940" s="862"/>
      <c r="L940" s="863"/>
      <c r="M940" s="863"/>
    </row>
    <row r="941" spans="1:14">
      <c r="A941" s="761"/>
      <c r="B941" s="865" t="s">
        <v>104</v>
      </c>
      <c r="C941" s="582"/>
      <c r="D941" s="151"/>
      <c r="E941" s="1133">
        <f>SUM(E931:F940)</f>
        <v>26922901.952817451</v>
      </c>
      <c r="F941" s="1133"/>
      <c r="G941" s="866"/>
      <c r="H941" s="1134">
        <f>SUM(H931:I937)</f>
        <v>8139753.1687886538</v>
      </c>
      <c r="I941" s="1134"/>
      <c r="J941" s="1135">
        <f>SUM(J931:K939)</f>
        <v>4944859.2967808228</v>
      </c>
      <c r="K941" s="1135"/>
      <c r="L941" s="1136">
        <f>SUM(L931:M939)</f>
        <v>13084612.465569476</v>
      </c>
      <c r="M941" s="1136"/>
    </row>
    <row r="942" spans="1:14">
      <c r="A942" s="761"/>
      <c r="B942" s="563"/>
      <c r="C942" s="597"/>
      <c r="D942" s="596"/>
      <c r="E942" s="1132"/>
      <c r="F942" s="1132"/>
      <c r="G942" s="859"/>
      <c r="H942" s="1137"/>
      <c r="I942" s="1137"/>
      <c r="J942" s="1137"/>
      <c r="K942" s="1137"/>
      <c r="L942" s="1138"/>
      <c r="M942" s="1138"/>
    </row>
    <row r="943" spans="1:14">
      <c r="A943" s="761"/>
      <c r="B943" s="867" t="s">
        <v>106</v>
      </c>
      <c r="C943" s="605"/>
      <c r="D943" s="568"/>
      <c r="E943" s="1133">
        <f>E927+E941</f>
        <v>130872330.34207402</v>
      </c>
      <c r="F943" s="1133"/>
      <c r="G943" s="868"/>
      <c r="H943" s="1134">
        <f>H927+H941+0.01</f>
        <v>47085940.589260682</v>
      </c>
      <c r="I943" s="1134"/>
      <c r="J943" s="1139">
        <f>J941+J927</f>
        <v>28604473.156976148</v>
      </c>
      <c r="K943" s="1139"/>
      <c r="L943" s="1134">
        <f>H943+J943</f>
        <v>75690413.746236831</v>
      </c>
      <c r="M943" s="1134"/>
    </row>
    <row r="944" spans="1:14">
      <c r="A944" s="761"/>
      <c r="B944" s="606" t="s">
        <v>107</v>
      </c>
      <c r="C944" s="582"/>
      <c r="D944" s="761"/>
      <c r="E944" s="854"/>
      <c r="F944" s="869"/>
      <c r="G944" s="854"/>
      <c r="H944" s="854"/>
      <c r="I944" s="854"/>
      <c r="J944" s="854"/>
      <c r="K944" s="854"/>
      <c r="L944" s="854"/>
      <c r="M944" s="854"/>
    </row>
    <row r="945" spans="1:13">
      <c r="A945" s="761"/>
      <c r="B945" s="5" t="s">
        <v>108</v>
      </c>
      <c r="C945" s="568"/>
      <c r="D945" s="584">
        <v>0.2</v>
      </c>
      <c r="E945" s="870"/>
      <c r="F945" s="869"/>
      <c r="G945" s="870"/>
      <c r="H945" s="1140">
        <f>+H943*0.2</f>
        <v>9417188.1178521365</v>
      </c>
      <c r="I945" s="1140"/>
      <c r="J945" s="1141">
        <f>61897862.59*0.2-H945</f>
        <v>2962384.4001478646</v>
      </c>
      <c r="K945" s="1141"/>
      <c r="L945" s="1135">
        <f>H945+J945-0.01</f>
        <v>12379572.508000001</v>
      </c>
      <c r="M945" s="1135"/>
    </row>
    <row r="946" spans="1:13">
      <c r="A946" s="761"/>
      <c r="B946" s="5"/>
      <c r="C946" s="568"/>
      <c r="D946" s="584"/>
      <c r="E946" s="870"/>
      <c r="F946" s="869"/>
      <c r="G946" s="870"/>
      <c r="H946" s="871"/>
      <c r="I946" s="871"/>
      <c r="J946" s="612"/>
      <c r="K946" s="612"/>
      <c r="L946" s="612"/>
      <c r="M946" s="612"/>
    </row>
    <row r="947" spans="1:13">
      <c r="A947" s="761"/>
      <c r="B947" s="5" t="s">
        <v>176</v>
      </c>
      <c r="C947" s="568"/>
      <c r="D947" s="568"/>
      <c r="E947" s="870"/>
      <c r="F947" s="869"/>
      <c r="G947" s="870"/>
      <c r="H947" s="1083"/>
      <c r="I947" s="1083"/>
      <c r="J947" s="1142">
        <f>J943-J945</f>
        <v>25642088.756828286</v>
      </c>
      <c r="K947" s="1142"/>
      <c r="L947" s="1068"/>
      <c r="M947" s="1068"/>
    </row>
    <row r="948" spans="1:13">
      <c r="A948" s="761"/>
      <c r="B948" s="5"/>
      <c r="C948" s="568"/>
      <c r="D948" s="568"/>
      <c r="E948" s="568"/>
      <c r="F948" s="872"/>
      <c r="G948" s="568"/>
      <c r="H948" s="873"/>
      <c r="I948" s="874"/>
      <c r="J948" s="875"/>
      <c r="K948" s="876"/>
      <c r="L948" s="876"/>
      <c r="M948" s="583"/>
    </row>
    <row r="949" spans="1:13">
      <c r="A949" s="761"/>
      <c r="B949" s="5"/>
      <c r="C949" s="1065" t="s">
        <v>110</v>
      </c>
      <c r="D949" s="1065"/>
      <c r="E949" s="1065"/>
      <c r="F949" s="443"/>
      <c r="G949" s="1065" t="s">
        <v>111</v>
      </c>
      <c r="H949" s="1065"/>
      <c r="I949" s="1065"/>
      <c r="J949" s="151"/>
      <c r="K949" s="1065"/>
      <c r="L949" s="1065"/>
      <c r="M949" s="151"/>
    </row>
    <row r="950" spans="1:13">
      <c r="A950" s="761"/>
      <c r="B950" s="5"/>
      <c r="C950" s="151"/>
      <c r="D950" s="151"/>
      <c r="E950" s="151"/>
      <c r="F950" s="443"/>
      <c r="G950" s="151"/>
      <c r="H950" s="151"/>
      <c r="I950" s="151"/>
      <c r="J950" s="151"/>
      <c r="K950" s="151"/>
      <c r="L950" s="151"/>
      <c r="M950" s="151"/>
    </row>
    <row r="951" spans="1:13">
      <c r="A951" s="761"/>
      <c r="B951" s="151"/>
      <c r="C951" s="151"/>
      <c r="D951" s="1" t="s">
        <v>114</v>
      </c>
      <c r="E951" s="151"/>
      <c r="F951" s="443"/>
      <c r="G951" s="1065" t="s">
        <v>727</v>
      </c>
      <c r="H951" s="1065"/>
      <c r="I951" s="1065"/>
      <c r="J951" s="151"/>
      <c r="K951" s="192" t="s">
        <v>728</v>
      </c>
      <c r="L951" s="585"/>
      <c r="M951" s="416"/>
    </row>
    <row r="952" spans="1:13">
      <c r="A952" s="761"/>
      <c r="B952" s="151"/>
      <c r="C952" s="151"/>
      <c r="D952" s="1" t="s">
        <v>118</v>
      </c>
      <c r="E952" s="151"/>
      <c r="F952" s="443"/>
      <c r="G952" s="1065" t="s">
        <v>729</v>
      </c>
      <c r="H952" s="1065"/>
      <c r="I952" s="1065"/>
      <c r="J952" s="151"/>
      <c r="K952" s="1" t="s">
        <v>730</v>
      </c>
      <c r="L952" s="151"/>
      <c r="M952" s="568"/>
    </row>
    <row r="953" spans="1:13">
      <c r="A953" s="761"/>
      <c r="B953" s="416"/>
      <c r="C953" s="416"/>
      <c r="D953" s="761"/>
      <c r="E953" s="416"/>
      <c r="F953" s="849"/>
      <c r="G953" s="416"/>
      <c r="H953" s="416"/>
      <c r="I953" s="416"/>
      <c r="J953" s="416"/>
      <c r="K953" s="416"/>
      <c r="L953" s="416"/>
      <c r="M953" s="416"/>
    </row>
    <row r="954" spans="1:13">
      <c r="A954" s="761"/>
      <c r="B954" s="416"/>
      <c r="C954" s="416"/>
      <c r="D954" s="761"/>
      <c r="E954" s="416"/>
      <c r="F954" s="849"/>
      <c r="G954" s="416"/>
      <c r="H954" s="416"/>
      <c r="I954" s="416"/>
      <c r="J954" s="416"/>
      <c r="K954" s="416"/>
      <c r="L954" s="416"/>
      <c r="M954" s="416"/>
    </row>
    <row r="955" spans="1:13">
      <c r="A955" s="761"/>
      <c r="B955" s="416"/>
      <c r="C955" s="416"/>
      <c r="D955" s="761"/>
      <c r="E955" s="416"/>
      <c r="F955" s="849"/>
      <c r="G955" s="416"/>
      <c r="H955" s="416"/>
      <c r="I955" s="416"/>
      <c r="J955" s="416"/>
      <c r="K955" s="416"/>
      <c r="L955" s="416"/>
      <c r="M955" s="416"/>
    </row>
    <row r="956" spans="1:13">
      <c r="A956" s="761"/>
      <c r="B956" s="416"/>
      <c r="C956" s="416"/>
      <c r="D956" s="761"/>
      <c r="E956" s="416"/>
      <c r="F956" s="849"/>
      <c r="G956" s="416"/>
      <c r="H956" s="416"/>
      <c r="I956" s="416"/>
      <c r="J956" s="416"/>
      <c r="K956" s="416"/>
      <c r="L956" s="416"/>
      <c r="M956" s="416"/>
    </row>
    <row r="957" spans="1:13">
      <c r="A957" s="761"/>
      <c r="B957" s="416"/>
      <c r="C957" s="416"/>
      <c r="D957" s="761"/>
      <c r="E957" s="416"/>
      <c r="F957" s="849"/>
      <c r="G957" s="416"/>
      <c r="H957" s="416"/>
      <c r="I957" s="416"/>
      <c r="J957" s="416"/>
      <c r="K957" s="416"/>
      <c r="L957" s="416"/>
      <c r="M957" s="416"/>
    </row>
    <row r="958" spans="1:13">
      <c r="A958" s="761"/>
      <c r="B958" s="416"/>
      <c r="C958" s="416"/>
      <c r="D958" s="761"/>
      <c r="E958" s="416"/>
      <c r="F958" s="849"/>
      <c r="G958" s="416"/>
      <c r="H958" s="416"/>
      <c r="I958" s="416"/>
      <c r="J958" s="416"/>
      <c r="K958" s="416"/>
      <c r="L958" s="416"/>
      <c r="M958" s="416"/>
    </row>
    <row r="959" spans="1:13">
      <c r="A959" s="761"/>
      <c r="B959" s="416"/>
      <c r="C959" s="416"/>
      <c r="D959" s="761"/>
      <c r="E959" s="416"/>
      <c r="F959" s="849"/>
      <c r="G959" s="416"/>
      <c r="H959" s="416"/>
      <c r="I959" s="416"/>
      <c r="J959" s="416"/>
      <c r="K959" s="416"/>
      <c r="L959" s="416"/>
      <c r="M959" s="416"/>
    </row>
    <row r="960" spans="1:13">
      <c r="A960" s="761"/>
      <c r="B960" s="416"/>
      <c r="C960" s="416"/>
      <c r="D960" s="761"/>
      <c r="E960" s="416"/>
      <c r="F960" s="849"/>
      <c r="G960" s="416"/>
      <c r="H960" s="416"/>
      <c r="I960" s="416"/>
      <c r="J960" s="416"/>
      <c r="K960" s="416"/>
      <c r="L960" s="416"/>
      <c r="M960" s="416"/>
    </row>
    <row r="961" spans="1:6">
      <c r="A961" s="155"/>
      <c r="D961" s="155"/>
      <c r="F961" s="187"/>
    </row>
    <row r="962" spans="1:6">
      <c r="A962" s="155"/>
      <c r="D962" s="155"/>
      <c r="F962" s="187"/>
    </row>
    <row r="963" spans="1:6">
      <c r="A963" s="155"/>
      <c r="D963" s="155"/>
      <c r="F963" s="187"/>
    </row>
    <row r="964" spans="1:6">
      <c r="A964" s="155"/>
      <c r="D964" s="155"/>
      <c r="F964" s="187"/>
    </row>
    <row r="965" spans="1:6">
      <c r="A965" s="155"/>
      <c r="D965" s="155"/>
      <c r="F965" s="187"/>
    </row>
    <row r="966" spans="1:6">
      <c r="A966" s="155"/>
      <c r="D966" s="155"/>
      <c r="F966" s="187"/>
    </row>
    <row r="967" spans="1:6">
      <c r="A967" s="155"/>
      <c r="D967" s="155"/>
      <c r="F967" s="187"/>
    </row>
    <row r="968" spans="1:6">
      <c r="A968" s="155"/>
      <c r="D968" s="155"/>
      <c r="F968" s="187"/>
    </row>
    <row r="969" spans="1:6">
      <c r="A969" s="155"/>
      <c r="D969" s="155"/>
      <c r="F969" s="187"/>
    </row>
  </sheetData>
  <mergeCells count="96">
    <mergeCell ref="G951:I951"/>
    <mergeCell ref="G952:I952"/>
    <mergeCell ref="H947:I947"/>
    <mergeCell ref="J947:K947"/>
    <mergeCell ref="L947:M947"/>
    <mergeCell ref="C949:E949"/>
    <mergeCell ref="G949:I949"/>
    <mergeCell ref="K949:L949"/>
    <mergeCell ref="E943:F943"/>
    <mergeCell ref="H943:I943"/>
    <mergeCell ref="J943:K943"/>
    <mergeCell ref="L943:M943"/>
    <mergeCell ref="H945:I945"/>
    <mergeCell ref="J945:K945"/>
    <mergeCell ref="L945:M945"/>
    <mergeCell ref="E941:F941"/>
    <mergeCell ref="H941:I941"/>
    <mergeCell ref="J941:K941"/>
    <mergeCell ref="L941:M941"/>
    <mergeCell ref="E942:F942"/>
    <mergeCell ref="H942:I942"/>
    <mergeCell ref="J942:K942"/>
    <mergeCell ref="L942:M942"/>
    <mergeCell ref="E938:F938"/>
    <mergeCell ref="H938:I938"/>
    <mergeCell ref="L938:M938"/>
    <mergeCell ref="E939:F939"/>
    <mergeCell ref="H939:I939"/>
    <mergeCell ref="J939:K939"/>
    <mergeCell ref="L939:M939"/>
    <mergeCell ref="E936:F936"/>
    <mergeCell ref="H936:I936"/>
    <mergeCell ref="J936:K936"/>
    <mergeCell ref="L936:M936"/>
    <mergeCell ref="E937:F937"/>
    <mergeCell ref="H937:I937"/>
    <mergeCell ref="J937:K937"/>
    <mergeCell ref="L937:M937"/>
    <mergeCell ref="E934:F934"/>
    <mergeCell ref="H934:I934"/>
    <mergeCell ref="J934:K934"/>
    <mergeCell ref="L934:M934"/>
    <mergeCell ref="E935:F935"/>
    <mergeCell ref="H935:I935"/>
    <mergeCell ref="J935:K935"/>
    <mergeCell ref="L935:M935"/>
    <mergeCell ref="J931:K931"/>
    <mergeCell ref="L931:M931"/>
    <mergeCell ref="E933:F933"/>
    <mergeCell ref="H933:I933"/>
    <mergeCell ref="J933:K933"/>
    <mergeCell ref="L933:M933"/>
    <mergeCell ref="E932:F932"/>
    <mergeCell ref="H932:I932"/>
    <mergeCell ref="J932:K932"/>
    <mergeCell ref="L932:M932"/>
    <mergeCell ref="E931:F931"/>
    <mergeCell ref="H931:I931"/>
    <mergeCell ref="J925:K925"/>
    <mergeCell ref="E926:F926"/>
    <mergeCell ref="H926:I926"/>
    <mergeCell ref="J926:K926"/>
    <mergeCell ref="L926:M926"/>
    <mergeCell ref="E927:F927"/>
    <mergeCell ref="H927:I927"/>
    <mergeCell ref="J927:K927"/>
    <mergeCell ref="L927:M927"/>
    <mergeCell ref="E930:F930"/>
    <mergeCell ref="C924:D924"/>
    <mergeCell ref="A427:F427"/>
    <mergeCell ref="G427:J427"/>
    <mergeCell ref="K427:M427"/>
    <mergeCell ref="A589:F589"/>
    <mergeCell ref="G589:J589"/>
    <mergeCell ref="K589:M589"/>
    <mergeCell ref="B857:G857"/>
    <mergeCell ref="B892:G892"/>
    <mergeCell ref="B919:M919"/>
    <mergeCell ref="B920:M920"/>
    <mergeCell ref="C922:I922"/>
    <mergeCell ref="A358:F358"/>
    <mergeCell ref="G358:J358"/>
    <mergeCell ref="K358:M358"/>
    <mergeCell ref="B1:M1"/>
    <mergeCell ref="B2:M2"/>
    <mergeCell ref="C4:I4"/>
    <mergeCell ref="C6:E6"/>
    <mergeCell ref="J7:K7"/>
    <mergeCell ref="A8:F8"/>
    <mergeCell ref="G8:J8"/>
    <mergeCell ref="K8:M8"/>
    <mergeCell ref="A328:M328"/>
    <mergeCell ref="A329:M329"/>
    <mergeCell ref="A331:F331"/>
    <mergeCell ref="G331:J331"/>
    <mergeCell ref="K331:M3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59C0-9D4A-4706-8B94-B884B4038464}">
  <dimension ref="A1:W158"/>
  <sheetViews>
    <sheetView workbookViewId="0">
      <selection activeCell="G59" sqref="G59"/>
    </sheetView>
  </sheetViews>
  <sheetFormatPr baseColWidth="10" defaultRowHeight="15"/>
  <cols>
    <col min="2" max="2" width="40.28515625" bestFit="1" customWidth="1"/>
    <col min="5" max="5" width="12.140625" bestFit="1" customWidth="1"/>
    <col min="6" max="6" width="19.5703125" bestFit="1" customWidth="1"/>
    <col min="7" max="8" width="12.28515625" bestFit="1" customWidth="1"/>
    <col min="9" max="9" width="11.85546875" bestFit="1" customWidth="1"/>
    <col min="11" max="11" width="14.140625" bestFit="1" customWidth="1"/>
    <col min="12" max="12" width="15.5703125" customWidth="1"/>
    <col min="13" max="13" width="18.140625" bestFit="1" customWidth="1"/>
    <col min="14" max="14" width="17.85546875" bestFit="1" customWidth="1"/>
    <col min="15" max="15" width="16.7109375" bestFit="1" customWidth="1"/>
  </cols>
  <sheetData>
    <row r="1" spans="1:13">
      <c r="A1" s="1004" t="s">
        <v>0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</row>
    <row r="2" spans="1:13">
      <c r="A2" s="1005" t="s">
        <v>1</v>
      </c>
      <c r="B2" s="1005"/>
      <c r="C2" s="1005"/>
      <c r="D2" s="1005"/>
      <c r="E2" s="1005"/>
      <c r="F2" s="1005"/>
      <c r="G2" s="1005"/>
      <c r="H2" s="1005"/>
      <c r="I2" s="1005"/>
      <c r="J2" s="1005"/>
      <c r="K2" s="1005"/>
      <c r="L2" s="1005"/>
      <c r="M2" s="1005"/>
    </row>
    <row r="3" spans="1:13">
      <c r="A3" s="3"/>
      <c r="B3" s="4" t="s">
        <v>2</v>
      </c>
      <c r="C3" s="1006" t="s">
        <v>3</v>
      </c>
      <c r="D3" s="1006"/>
      <c r="E3" s="1006"/>
      <c r="F3" s="1006"/>
      <c r="G3" s="1006"/>
      <c r="H3" s="1006"/>
      <c r="I3" s="1006"/>
      <c r="J3" s="3"/>
      <c r="K3" s="3"/>
      <c r="L3" s="4" t="s">
        <v>4</v>
      </c>
      <c r="M3" s="6">
        <v>19236531.640000001</v>
      </c>
    </row>
    <row r="4" spans="1:13">
      <c r="A4" s="3"/>
      <c r="B4" s="4" t="s">
        <v>5</v>
      </c>
      <c r="C4" s="7">
        <v>5</v>
      </c>
      <c r="D4" s="3"/>
      <c r="E4" s="8"/>
      <c r="F4" s="8"/>
      <c r="G4" s="8"/>
      <c r="H4" s="9"/>
      <c r="I4" s="3"/>
      <c r="J4" s="3"/>
      <c r="K4" s="3"/>
      <c r="L4" s="4" t="s">
        <v>6</v>
      </c>
      <c r="M4" s="6">
        <f>M3*0.2</f>
        <v>3847306.3280000002</v>
      </c>
    </row>
    <row r="5" spans="1:13">
      <c r="A5" s="3"/>
      <c r="B5" s="4" t="s">
        <v>7</v>
      </c>
      <c r="C5" s="10" t="s">
        <v>8</v>
      </c>
      <c r="D5" s="8"/>
      <c r="E5" s="8"/>
      <c r="F5" s="8"/>
      <c r="G5" s="11"/>
      <c r="H5" s="12"/>
      <c r="I5" s="3"/>
      <c r="J5" s="3"/>
      <c r="K5" s="3"/>
      <c r="L5" s="4" t="s">
        <v>9</v>
      </c>
      <c r="M5" s="13" t="s">
        <v>10</v>
      </c>
    </row>
    <row r="6" spans="1:13">
      <c r="A6" s="3"/>
      <c r="B6" s="4" t="s">
        <v>11</v>
      </c>
      <c r="C6" s="7" t="s">
        <v>12</v>
      </c>
      <c r="D6" s="8"/>
      <c r="E6" s="8"/>
      <c r="F6" s="8"/>
      <c r="H6" s="3"/>
      <c r="I6" s="3"/>
      <c r="J6" s="3"/>
      <c r="K6" s="3"/>
      <c r="L6" s="3"/>
      <c r="M6" s="3"/>
    </row>
    <row r="7" spans="1:13">
      <c r="A7" s="1007" t="s">
        <v>13</v>
      </c>
      <c r="B7" s="1007"/>
      <c r="C7" s="1007"/>
      <c r="D7" s="1007"/>
      <c r="E7" s="1007"/>
      <c r="F7" s="1007"/>
      <c r="G7" s="1008" t="s">
        <v>14</v>
      </c>
      <c r="H7" s="1008"/>
      <c r="I7" s="1008"/>
      <c r="J7" s="1008"/>
      <c r="K7" s="1009" t="s">
        <v>15</v>
      </c>
      <c r="L7" s="1009"/>
      <c r="M7" s="1009"/>
    </row>
    <row r="8" spans="1:13">
      <c r="A8" s="14" t="s">
        <v>16</v>
      </c>
      <c r="B8" s="15" t="s">
        <v>17</v>
      </c>
      <c r="C8" s="15" t="s">
        <v>18</v>
      </c>
      <c r="D8" s="15" t="s">
        <v>19</v>
      </c>
      <c r="E8" s="16" t="s">
        <v>20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20" t="s">
        <v>22</v>
      </c>
      <c r="L8" s="21" t="s">
        <v>23</v>
      </c>
      <c r="M8" s="21" t="s">
        <v>24</v>
      </c>
    </row>
    <row r="9" spans="1:13">
      <c r="A9" s="22" t="s">
        <v>26</v>
      </c>
      <c r="B9" s="23" t="s">
        <v>27</v>
      </c>
      <c r="C9" s="24"/>
      <c r="D9" s="25"/>
      <c r="E9" s="25"/>
      <c r="F9" s="25"/>
      <c r="G9" s="19"/>
      <c r="H9" s="19"/>
      <c r="I9" s="19"/>
      <c r="J9" s="19"/>
      <c r="K9" s="20"/>
      <c r="L9" s="21"/>
      <c r="M9" s="21"/>
    </row>
    <row r="10" spans="1:13">
      <c r="A10" s="26">
        <v>1</v>
      </c>
      <c r="B10" s="23" t="s">
        <v>28</v>
      </c>
      <c r="C10" s="24"/>
      <c r="D10" s="25"/>
      <c r="E10" s="25"/>
      <c r="F10" s="25"/>
      <c r="G10" s="19"/>
      <c r="H10" s="19"/>
      <c r="I10" s="19"/>
      <c r="J10" s="19"/>
      <c r="K10" s="20"/>
      <c r="L10" s="21"/>
      <c r="M10" s="21"/>
    </row>
    <row r="11" spans="1:13">
      <c r="A11" s="27">
        <v>1.01</v>
      </c>
      <c r="B11" s="28" t="s">
        <v>29</v>
      </c>
      <c r="C11" s="29" t="s">
        <v>30</v>
      </c>
      <c r="D11" s="30">
        <v>1242.75</v>
      </c>
      <c r="E11" s="31">
        <v>143.49</v>
      </c>
      <c r="F11" s="31">
        <f>D11*E11</f>
        <v>178322.19750000001</v>
      </c>
      <c r="G11" s="32">
        <v>1226</v>
      </c>
      <c r="H11" s="33">
        <f>D11-G11</f>
        <v>16.75</v>
      </c>
      <c r="I11" s="34">
        <f>+G11+H11</f>
        <v>1242.75</v>
      </c>
      <c r="J11" s="35">
        <f>G11/D11</f>
        <v>0.98652182659424659</v>
      </c>
      <c r="K11" s="36">
        <f>G11*E11</f>
        <v>175918.74000000002</v>
      </c>
      <c r="L11" s="37">
        <f>H11*E11</f>
        <v>2403.4575</v>
      </c>
      <c r="M11" s="38">
        <f>K11+L11</f>
        <v>178322.19750000001</v>
      </c>
    </row>
    <row r="12" spans="1:13">
      <c r="A12" s="39">
        <f>A11+0.01</f>
        <v>1.02</v>
      </c>
      <c r="B12" s="28" t="s">
        <v>31</v>
      </c>
      <c r="C12" s="29" t="s">
        <v>32</v>
      </c>
      <c r="D12" s="30">
        <v>1</v>
      </c>
      <c r="E12" s="31">
        <v>30000</v>
      </c>
      <c r="F12" s="31">
        <f>D12*E12</f>
        <v>30000</v>
      </c>
      <c r="G12" s="40">
        <v>1</v>
      </c>
      <c r="H12" s="32"/>
      <c r="I12" s="34">
        <f>+G12+H12</f>
        <v>1</v>
      </c>
      <c r="J12" s="35">
        <f>I12/D12</f>
        <v>1</v>
      </c>
      <c r="K12" s="36">
        <f>G12*E12</f>
        <v>30000</v>
      </c>
      <c r="L12" s="38"/>
      <c r="M12" s="38">
        <f>K12+L12</f>
        <v>30000</v>
      </c>
    </row>
    <row r="13" spans="1:13">
      <c r="A13" s="39">
        <f>A12+0.01</f>
        <v>1.03</v>
      </c>
      <c r="B13" s="28" t="s">
        <v>33</v>
      </c>
      <c r="C13" s="29" t="s">
        <v>30</v>
      </c>
      <c r="D13" s="30">
        <v>2485.5</v>
      </c>
      <c r="E13" s="31">
        <v>85</v>
      </c>
      <c r="F13" s="31">
        <f>D13*E13</f>
        <v>211267.5</v>
      </c>
      <c r="G13" s="40">
        <v>1290</v>
      </c>
      <c r="H13" s="33">
        <v>600</v>
      </c>
      <c r="I13" s="34">
        <f>+G13+H13</f>
        <v>1890</v>
      </c>
      <c r="J13" s="35">
        <f>I13/D13</f>
        <v>0.76041038020519014</v>
      </c>
      <c r="K13" s="36">
        <f>G13*E13</f>
        <v>109650</v>
      </c>
      <c r="L13" s="37">
        <f>H13*E13</f>
        <v>51000</v>
      </c>
      <c r="M13" s="38">
        <f t="shared" ref="M13:M22" si="0">K13+L13</f>
        <v>160650</v>
      </c>
    </row>
    <row r="14" spans="1:13">
      <c r="A14" s="39">
        <f>A13+0.01</f>
        <v>1.04</v>
      </c>
      <c r="B14" s="28" t="s">
        <v>34</v>
      </c>
      <c r="C14" s="41" t="s">
        <v>30</v>
      </c>
      <c r="D14" s="28">
        <v>1242.75</v>
      </c>
      <c r="E14" s="42">
        <v>25</v>
      </c>
      <c r="F14" s="31">
        <f>D14*E14</f>
        <v>31068.75</v>
      </c>
      <c r="G14" s="32">
        <v>1226</v>
      </c>
      <c r="H14" s="33">
        <f>D14-G14</f>
        <v>16.75</v>
      </c>
      <c r="I14" s="34">
        <f>+G14+H14</f>
        <v>1242.75</v>
      </c>
      <c r="J14" s="35">
        <f>I14/D14</f>
        <v>1</v>
      </c>
      <c r="K14" s="36">
        <f>G14*E14</f>
        <v>30650</v>
      </c>
      <c r="L14" s="37">
        <f>H14*E14</f>
        <v>418.75</v>
      </c>
      <c r="M14" s="38">
        <f t="shared" si="0"/>
        <v>31068.75</v>
      </c>
    </row>
    <row r="15" spans="1:13">
      <c r="A15" s="39">
        <f>A14+0.01</f>
        <v>1.05</v>
      </c>
      <c r="B15" s="43" t="s">
        <v>35</v>
      </c>
      <c r="C15" s="41"/>
      <c r="D15" s="28"/>
      <c r="E15" s="28"/>
      <c r="F15" s="44">
        <f>SUM(F11:F14)</f>
        <v>450658.44750000001</v>
      </c>
      <c r="G15" s="45"/>
      <c r="H15" s="19"/>
      <c r="I15" s="19"/>
      <c r="J15" s="19"/>
      <c r="K15" s="46">
        <f>SUM(K11:K14)</f>
        <v>346218.74</v>
      </c>
      <c r="L15" s="47">
        <f>SUM(L11:L14)</f>
        <v>53822.207499999997</v>
      </c>
      <c r="M15" s="47">
        <f t="shared" si="0"/>
        <v>400040.94750000001</v>
      </c>
    </row>
    <row r="16" spans="1:13">
      <c r="A16" s="48">
        <v>2</v>
      </c>
      <c r="B16" s="49" t="s">
        <v>36</v>
      </c>
      <c r="C16" s="41"/>
      <c r="D16" s="28"/>
      <c r="E16" s="28"/>
      <c r="F16" s="28"/>
      <c r="G16" s="45"/>
      <c r="H16" s="19"/>
      <c r="I16" s="19"/>
      <c r="J16" s="19"/>
      <c r="K16" s="50"/>
      <c r="L16" s="37"/>
      <c r="M16" s="37"/>
    </row>
    <row r="17" spans="1:13">
      <c r="A17" s="27">
        <f t="shared" ref="A17:A22" si="1">A16+0.01</f>
        <v>2.0099999999999998</v>
      </c>
      <c r="B17" s="28" t="s">
        <v>37</v>
      </c>
      <c r="C17" s="41" t="s">
        <v>38</v>
      </c>
      <c r="D17" s="51">
        <v>894.78111000000001</v>
      </c>
      <c r="E17" s="42">
        <v>562.30999999999995</v>
      </c>
      <c r="F17" s="31">
        <f>D17*E17</f>
        <v>503144.36596409994</v>
      </c>
      <c r="G17" s="40">
        <v>775.9</v>
      </c>
      <c r="H17" s="52"/>
      <c r="I17" s="34">
        <f>+G17+H17</f>
        <v>775.9</v>
      </c>
      <c r="J17" s="35">
        <f>I17/D17</f>
        <v>0.86713945045174234</v>
      </c>
      <c r="K17" s="36">
        <v>436071.40499999997</v>
      </c>
      <c r="L17" s="53"/>
      <c r="M17" s="38">
        <f t="shared" si="0"/>
        <v>436071.40499999997</v>
      </c>
    </row>
    <row r="18" spans="1:13">
      <c r="A18" s="39">
        <f t="shared" si="1"/>
        <v>2.0199999999999996</v>
      </c>
      <c r="B18" s="28" t="s">
        <v>39</v>
      </c>
      <c r="C18" s="41" t="s">
        <v>38</v>
      </c>
      <c r="D18" s="51">
        <v>74.564999999999998</v>
      </c>
      <c r="E18" s="54">
        <v>2715.82132</v>
      </c>
      <c r="F18" s="31">
        <f>D18*E18</f>
        <v>202505.21672579998</v>
      </c>
      <c r="G18" s="40">
        <v>74.564999999999998</v>
      </c>
      <c r="H18" s="55"/>
      <c r="I18" s="56">
        <f t="shared" ref="I18:I21" si="2">+G18+H18</f>
        <v>74.564999999999998</v>
      </c>
      <c r="J18" s="35">
        <f t="shared" ref="J18:J21" si="3">I18/D18</f>
        <v>1</v>
      </c>
      <c r="K18" s="36">
        <v>202505.11732980001</v>
      </c>
      <c r="L18" s="38"/>
      <c r="M18" s="38">
        <f t="shared" si="0"/>
        <v>202505.11732980001</v>
      </c>
    </row>
    <row r="19" spans="1:13">
      <c r="A19" s="39">
        <f t="shared" si="1"/>
        <v>2.0299999999999994</v>
      </c>
      <c r="B19" s="28" t="s">
        <v>40</v>
      </c>
      <c r="C19" s="41" t="s">
        <v>38</v>
      </c>
      <c r="D19" s="51">
        <v>387.738</v>
      </c>
      <c r="E19" s="57">
        <v>504.28501</v>
      </c>
      <c r="F19" s="31">
        <f t="shared" ref="F19:F21" si="4">D19*E19</f>
        <v>195530.46120737999</v>
      </c>
      <c r="G19" s="40">
        <v>223.58</v>
      </c>
      <c r="H19" s="40"/>
      <c r="I19" s="34">
        <f t="shared" si="2"/>
        <v>223.58</v>
      </c>
      <c r="J19" s="35">
        <f t="shared" si="3"/>
        <v>0.57662648489443902</v>
      </c>
      <c r="K19" s="36">
        <v>112749.15820000001</v>
      </c>
      <c r="L19" s="53"/>
      <c r="M19" s="38">
        <f t="shared" si="0"/>
        <v>112749.15820000001</v>
      </c>
    </row>
    <row r="20" spans="1:13">
      <c r="A20" s="39">
        <f t="shared" si="1"/>
        <v>2.0399999999999991</v>
      </c>
      <c r="B20" s="28" t="s">
        <v>41</v>
      </c>
      <c r="C20" s="41" t="s">
        <v>38</v>
      </c>
      <c r="D20" s="51">
        <v>745.65</v>
      </c>
      <c r="E20" s="57">
        <v>719.98436900000002</v>
      </c>
      <c r="F20" s="31">
        <f t="shared" si="4"/>
        <v>536856.34474484995</v>
      </c>
      <c r="G20" s="40">
        <v>745.65</v>
      </c>
      <c r="H20" s="55"/>
      <c r="I20" s="34">
        <f t="shared" si="2"/>
        <v>745.65</v>
      </c>
      <c r="J20" s="35">
        <f t="shared" si="3"/>
        <v>1</v>
      </c>
      <c r="K20" s="36">
        <v>536852.56368118001</v>
      </c>
      <c r="L20" s="38"/>
      <c r="M20" s="38">
        <f t="shared" si="0"/>
        <v>536852.56368118001</v>
      </c>
    </row>
    <row r="21" spans="1:13">
      <c r="A21" s="39">
        <f t="shared" si="1"/>
        <v>2.0499999999999989</v>
      </c>
      <c r="B21" s="28" t="s">
        <v>42</v>
      </c>
      <c r="C21" s="41" t="s">
        <v>43</v>
      </c>
      <c r="D21" s="51">
        <v>90</v>
      </c>
      <c r="E21" s="42">
        <v>2400</v>
      </c>
      <c r="F21" s="31">
        <f t="shared" si="4"/>
        <v>216000</v>
      </c>
      <c r="G21" s="40">
        <v>104</v>
      </c>
      <c r="H21" s="40">
        <v>-14</v>
      </c>
      <c r="I21" s="34">
        <f t="shared" si="2"/>
        <v>90</v>
      </c>
      <c r="J21" s="35">
        <f t="shared" si="3"/>
        <v>1</v>
      </c>
      <c r="K21" s="36">
        <f t="shared" ref="K21" si="5">G21*E21</f>
        <v>249600</v>
      </c>
      <c r="L21" s="37">
        <f>H21*E21</f>
        <v>-33600</v>
      </c>
      <c r="M21" s="38">
        <f t="shared" si="0"/>
        <v>216000</v>
      </c>
    </row>
    <row r="22" spans="1:13">
      <c r="A22" s="39">
        <f t="shared" si="1"/>
        <v>2.0599999999999987</v>
      </c>
      <c r="B22" s="43" t="s">
        <v>44</v>
      </c>
      <c r="C22" s="58"/>
      <c r="D22" s="58"/>
      <c r="E22" s="58"/>
      <c r="F22" s="44">
        <f>SUM(F17:F21)</f>
        <v>1654036.38864213</v>
      </c>
      <c r="G22" s="45"/>
      <c r="H22" s="19"/>
      <c r="I22" s="19"/>
      <c r="J22" s="19"/>
      <c r="K22" s="46">
        <f>SUM(K17:K21)</f>
        <v>1537778.2442109799</v>
      </c>
      <c r="L22" s="53"/>
      <c r="M22" s="53">
        <f t="shared" si="0"/>
        <v>1537778.2442109799</v>
      </c>
    </row>
    <row r="23" spans="1:13">
      <c r="A23" s="59">
        <v>3</v>
      </c>
      <c r="B23" s="49" t="s">
        <v>45</v>
      </c>
      <c r="C23" s="41"/>
      <c r="D23" s="28"/>
      <c r="E23" s="28"/>
      <c r="F23" s="60"/>
      <c r="G23" s="45"/>
      <c r="H23" s="19"/>
      <c r="I23" s="19"/>
      <c r="J23" s="19"/>
      <c r="K23" s="61"/>
      <c r="L23" s="53"/>
      <c r="M23" s="53"/>
    </row>
    <row r="24" spans="1:13">
      <c r="A24" s="27">
        <f>A23+0.01</f>
        <v>3.01</v>
      </c>
      <c r="B24" s="28" t="s">
        <v>46</v>
      </c>
      <c r="C24" s="41" t="s">
        <v>30</v>
      </c>
      <c r="D24" s="28">
        <v>1242.75</v>
      </c>
      <c r="E24" s="42">
        <v>2022.65</v>
      </c>
      <c r="F24" s="31">
        <f t="shared" ref="F24:F26" si="6">D24*E24</f>
        <v>2513648.2875000001</v>
      </c>
      <c r="G24" s="40">
        <v>1242.75</v>
      </c>
      <c r="H24" s="19"/>
      <c r="I24" s="34">
        <f t="shared" ref="I24:I26" si="7">+G24+H24</f>
        <v>1242.75</v>
      </c>
      <c r="J24" s="35">
        <f t="shared" ref="J24:J26" si="8">I24/D24</f>
        <v>1</v>
      </c>
      <c r="K24" s="36">
        <f t="shared" ref="K24:K29" si="9">G24*E24</f>
        <v>2513648.2875000001</v>
      </c>
      <c r="L24" s="53"/>
      <c r="M24" s="38">
        <f t="shared" ref="M24:M48" si="10">K24+L24</f>
        <v>2513648.2875000001</v>
      </c>
    </row>
    <row r="25" spans="1:13">
      <c r="A25" s="27">
        <f t="shared" ref="A25:A29" si="11">A24+0.01</f>
        <v>3.0199999999999996</v>
      </c>
      <c r="B25" s="62" t="s">
        <v>47</v>
      </c>
      <c r="C25" s="63" t="s">
        <v>30</v>
      </c>
      <c r="D25" s="62">
        <v>456.75</v>
      </c>
      <c r="E25" s="64">
        <v>1750.88</v>
      </c>
      <c r="F25" s="31">
        <f t="shared" si="6"/>
        <v>799714.44000000006</v>
      </c>
      <c r="G25" s="65">
        <v>456.75</v>
      </c>
      <c r="H25" s="40"/>
      <c r="I25" s="34">
        <f t="shared" si="7"/>
        <v>456.75</v>
      </c>
      <c r="J25" s="35">
        <f t="shared" si="8"/>
        <v>1</v>
      </c>
      <c r="K25" s="36">
        <f t="shared" si="9"/>
        <v>799714.44000000006</v>
      </c>
      <c r="L25" s="37"/>
      <c r="M25" s="38">
        <f t="shared" si="10"/>
        <v>799714.44000000006</v>
      </c>
    </row>
    <row r="26" spans="1:13">
      <c r="A26" s="27">
        <f t="shared" si="11"/>
        <v>3.0299999999999994</v>
      </c>
      <c r="B26" s="62" t="s">
        <v>48</v>
      </c>
      <c r="C26" s="63" t="s">
        <v>30</v>
      </c>
      <c r="D26" s="62">
        <v>427.5</v>
      </c>
      <c r="E26" s="64">
        <v>1575.77</v>
      </c>
      <c r="F26" s="31">
        <f t="shared" si="6"/>
        <v>673641.67500000005</v>
      </c>
      <c r="G26" s="66">
        <v>325</v>
      </c>
      <c r="H26" s="32">
        <f>D26-G26</f>
        <v>102.5</v>
      </c>
      <c r="I26" s="34">
        <f t="shared" si="7"/>
        <v>427.5</v>
      </c>
      <c r="J26" s="35">
        <f t="shared" si="8"/>
        <v>1</v>
      </c>
      <c r="K26" s="36">
        <f t="shared" si="9"/>
        <v>512125.25</v>
      </c>
      <c r="L26" s="37">
        <f>H26*E26</f>
        <v>161516.42499999999</v>
      </c>
      <c r="M26" s="38">
        <f t="shared" si="10"/>
        <v>673641.67500000005</v>
      </c>
    </row>
    <row r="27" spans="1:13">
      <c r="A27" s="27">
        <f t="shared" si="11"/>
        <v>3.0399999999999991</v>
      </c>
      <c r="B27" s="28" t="s">
        <v>49</v>
      </c>
      <c r="C27" s="41" t="s">
        <v>50</v>
      </c>
      <c r="D27" s="28">
        <v>300</v>
      </c>
      <c r="E27" s="42">
        <v>3750</v>
      </c>
      <c r="F27" s="67">
        <f>+D27*E27</f>
        <v>1125000</v>
      </c>
      <c r="G27" s="66">
        <v>250</v>
      </c>
      <c r="H27" s="32">
        <v>25</v>
      </c>
      <c r="I27" s="34">
        <f>+G27+H27</f>
        <v>275</v>
      </c>
      <c r="J27" s="35">
        <f>I27/D27</f>
        <v>0.91666666666666663</v>
      </c>
      <c r="K27" s="36">
        <f t="shared" si="9"/>
        <v>937500</v>
      </c>
      <c r="L27" s="37">
        <f>H27*E27</f>
        <v>93750</v>
      </c>
      <c r="M27" s="38">
        <f t="shared" si="10"/>
        <v>1031250</v>
      </c>
    </row>
    <row r="28" spans="1:13" ht="24.75">
      <c r="A28" s="27">
        <f t="shared" si="11"/>
        <v>3.0499999999999989</v>
      </c>
      <c r="B28" s="68" t="s">
        <v>51</v>
      </c>
      <c r="C28" s="69" t="s">
        <v>50</v>
      </c>
      <c r="D28" s="69">
        <v>1</v>
      </c>
      <c r="E28" s="70">
        <v>240588.04</v>
      </c>
      <c r="F28" s="70">
        <f>E28*D28</f>
        <v>240588.04</v>
      </c>
      <c r="G28" s="71">
        <v>1</v>
      </c>
      <c r="H28" s="40"/>
      <c r="I28" s="66">
        <f>+G28+H28</f>
        <v>1</v>
      </c>
      <c r="J28" s="72">
        <f>I28/D28</f>
        <v>1</v>
      </c>
      <c r="K28" s="36">
        <f t="shared" si="9"/>
        <v>240588.04</v>
      </c>
      <c r="L28" s="37"/>
      <c r="M28" s="38">
        <f t="shared" si="10"/>
        <v>240588.04</v>
      </c>
    </row>
    <row r="29" spans="1:13">
      <c r="A29" s="27">
        <f t="shared" si="11"/>
        <v>3.0599999999999987</v>
      </c>
      <c r="B29" s="68" t="s">
        <v>52</v>
      </c>
      <c r="C29" s="69" t="s">
        <v>50</v>
      </c>
      <c r="D29" s="69">
        <v>1</v>
      </c>
      <c r="E29" s="70">
        <v>99873.51</v>
      </c>
      <c r="F29" s="70">
        <f>E29*D29</f>
        <v>99873.51</v>
      </c>
      <c r="G29" s="71">
        <v>1</v>
      </c>
      <c r="H29" s="40"/>
      <c r="I29" s="66">
        <f>+G29+H29</f>
        <v>1</v>
      </c>
      <c r="J29" s="72">
        <f>I29/D29</f>
        <v>1</v>
      </c>
      <c r="K29" s="36">
        <f t="shared" si="9"/>
        <v>99873.51</v>
      </c>
      <c r="L29" s="37"/>
      <c r="M29" s="38">
        <f t="shared" si="10"/>
        <v>99873.51</v>
      </c>
    </row>
    <row r="30" spans="1:13">
      <c r="A30" s="39"/>
      <c r="B30" s="43" t="s">
        <v>35</v>
      </c>
      <c r="C30" s="41"/>
      <c r="D30" s="28"/>
      <c r="E30" s="42"/>
      <c r="F30" s="44">
        <f>SUM(F24:F29)</f>
        <v>5452465.9524999997</v>
      </c>
      <c r="G30" s="45"/>
      <c r="H30" s="19"/>
      <c r="I30" s="19"/>
      <c r="J30" s="19"/>
      <c r="K30" s="46">
        <f>SUM(K24:K29)</f>
        <v>5103449.5274999999</v>
      </c>
      <c r="L30" s="53">
        <f>SUM(L26:L29)</f>
        <v>255266.42499999999</v>
      </c>
      <c r="M30" s="53">
        <f t="shared" si="10"/>
        <v>5358715.9524999997</v>
      </c>
    </row>
    <row r="31" spans="1:13">
      <c r="A31" s="59">
        <v>4</v>
      </c>
      <c r="B31" s="73" t="s">
        <v>53</v>
      </c>
      <c r="C31" s="74"/>
      <c r="D31" s="74"/>
      <c r="E31" s="74"/>
      <c r="F31" s="74"/>
      <c r="G31" s="45"/>
      <c r="H31" s="19"/>
      <c r="I31" s="19"/>
      <c r="J31" s="19"/>
      <c r="K31" s="61"/>
      <c r="L31" s="53"/>
      <c r="M31" s="53"/>
    </row>
    <row r="32" spans="1:13" ht="15" customHeight="1">
      <c r="A32" s="39">
        <f t="shared" ref="A32:A48" si="12">A31+0.01</f>
        <v>4.01</v>
      </c>
      <c r="B32" s="68" t="s">
        <v>54</v>
      </c>
      <c r="C32" s="39" t="s">
        <v>32</v>
      </c>
      <c r="D32" s="39">
        <v>4</v>
      </c>
      <c r="E32" s="75">
        <v>2295</v>
      </c>
      <c r="F32" s="75">
        <f t="shared" ref="F32:F47" si="13">E32*D32</f>
        <v>9180</v>
      </c>
      <c r="G32" s="45"/>
      <c r="H32" s="76">
        <f>D32</f>
        <v>4</v>
      </c>
      <c r="I32" s="66">
        <f t="shared" ref="I32:I47" si="14">+G32+H32</f>
        <v>4</v>
      </c>
      <c r="J32" s="72">
        <f t="shared" ref="J32:J47" si="15">I32/D32</f>
        <v>1</v>
      </c>
      <c r="K32" s="61"/>
      <c r="L32" s="37">
        <f>H32*E32</f>
        <v>9180</v>
      </c>
      <c r="M32" s="38">
        <f t="shared" si="10"/>
        <v>9180</v>
      </c>
    </row>
    <row r="33" spans="1:14" ht="12.75" customHeight="1">
      <c r="A33" s="77">
        <f t="shared" si="12"/>
        <v>4.0199999999999996</v>
      </c>
      <c r="B33" s="68" t="s">
        <v>55</v>
      </c>
      <c r="C33" s="39" t="s">
        <v>32</v>
      </c>
      <c r="D33" s="39">
        <v>2</v>
      </c>
      <c r="E33" s="75">
        <v>3570</v>
      </c>
      <c r="F33" s="75">
        <f t="shared" si="13"/>
        <v>7140</v>
      </c>
      <c r="G33" s="45"/>
      <c r="H33" s="76">
        <f t="shared" ref="H33:H43" si="16">D33</f>
        <v>2</v>
      </c>
      <c r="I33" s="66">
        <f t="shared" si="14"/>
        <v>2</v>
      </c>
      <c r="J33" s="72">
        <f t="shared" si="15"/>
        <v>1</v>
      </c>
      <c r="K33" s="61"/>
      <c r="L33" s="37">
        <f t="shared" ref="L33:L47" si="17">H33*E33</f>
        <v>7140</v>
      </c>
      <c r="M33" s="38">
        <f t="shared" si="10"/>
        <v>7140</v>
      </c>
    </row>
    <row r="34" spans="1:14">
      <c r="A34" s="77">
        <f t="shared" si="12"/>
        <v>4.0299999999999994</v>
      </c>
      <c r="B34" s="28" t="s">
        <v>56</v>
      </c>
      <c r="C34" s="39" t="s">
        <v>32</v>
      </c>
      <c r="D34" s="39">
        <v>2</v>
      </c>
      <c r="E34" s="78">
        <v>3841.78</v>
      </c>
      <c r="F34" s="75">
        <f t="shared" si="13"/>
        <v>7683.56</v>
      </c>
      <c r="G34" s="45"/>
      <c r="H34" s="76">
        <f t="shared" si="16"/>
        <v>2</v>
      </c>
      <c r="I34" s="66">
        <f t="shared" si="14"/>
        <v>2</v>
      </c>
      <c r="J34" s="72">
        <f t="shared" si="15"/>
        <v>1</v>
      </c>
      <c r="K34" s="61"/>
      <c r="L34" s="37">
        <f t="shared" si="17"/>
        <v>7683.56</v>
      </c>
      <c r="M34" s="38">
        <f t="shared" si="10"/>
        <v>7683.56</v>
      </c>
    </row>
    <row r="35" spans="1:14" ht="24.75">
      <c r="A35" s="77">
        <f t="shared" si="12"/>
        <v>4.0399999999999991</v>
      </c>
      <c r="B35" s="68" t="s">
        <v>57</v>
      </c>
      <c r="C35" s="39" t="s">
        <v>32</v>
      </c>
      <c r="D35" s="39">
        <v>2</v>
      </c>
      <c r="E35" s="78">
        <v>59642.46</v>
      </c>
      <c r="F35" s="75">
        <f t="shared" si="13"/>
        <v>119284.92</v>
      </c>
      <c r="G35" s="45"/>
      <c r="H35" s="76">
        <f t="shared" si="16"/>
        <v>2</v>
      </c>
      <c r="I35" s="66">
        <f t="shared" si="14"/>
        <v>2</v>
      </c>
      <c r="J35" s="72">
        <f t="shared" si="15"/>
        <v>1</v>
      </c>
      <c r="K35" s="61"/>
      <c r="L35" s="37">
        <f t="shared" si="17"/>
        <v>119284.92</v>
      </c>
      <c r="M35" s="38">
        <f t="shared" si="10"/>
        <v>119284.92</v>
      </c>
    </row>
    <row r="36" spans="1:14">
      <c r="A36" s="77">
        <f t="shared" si="12"/>
        <v>4.0499999999999989</v>
      </c>
      <c r="B36" s="28" t="s">
        <v>58</v>
      </c>
      <c r="C36" s="39" t="s">
        <v>32</v>
      </c>
      <c r="D36" s="39">
        <v>4</v>
      </c>
      <c r="E36" s="78">
        <v>2091</v>
      </c>
      <c r="F36" s="75">
        <f t="shared" si="13"/>
        <v>8364</v>
      </c>
      <c r="G36" s="45"/>
      <c r="H36" s="76">
        <f t="shared" si="16"/>
        <v>4</v>
      </c>
      <c r="I36" s="66">
        <f t="shared" si="14"/>
        <v>4</v>
      </c>
      <c r="J36" s="72">
        <f t="shared" si="15"/>
        <v>1</v>
      </c>
      <c r="K36" s="61"/>
      <c r="L36" s="37">
        <f t="shared" si="17"/>
        <v>8364</v>
      </c>
      <c r="M36" s="38">
        <f t="shared" si="10"/>
        <v>8364</v>
      </c>
    </row>
    <row r="37" spans="1:14">
      <c r="A37" s="77">
        <f t="shared" si="12"/>
        <v>4.0599999999999987</v>
      </c>
      <c r="B37" s="28" t="s">
        <v>59</v>
      </c>
      <c r="C37" s="39" t="s">
        <v>32</v>
      </c>
      <c r="D37" s="39">
        <v>2</v>
      </c>
      <c r="E37" s="78">
        <v>3162</v>
      </c>
      <c r="F37" s="75">
        <f t="shared" si="13"/>
        <v>6324</v>
      </c>
      <c r="G37" s="45"/>
      <c r="H37" s="76">
        <f t="shared" si="16"/>
        <v>2</v>
      </c>
      <c r="I37" s="66">
        <f t="shared" si="14"/>
        <v>2</v>
      </c>
      <c r="J37" s="72">
        <f t="shared" si="15"/>
        <v>1</v>
      </c>
      <c r="K37" s="61"/>
      <c r="L37" s="37">
        <f t="shared" si="17"/>
        <v>6324</v>
      </c>
      <c r="M37" s="38">
        <f t="shared" si="10"/>
        <v>6324</v>
      </c>
    </row>
    <row r="38" spans="1:14">
      <c r="A38" s="77">
        <f t="shared" si="12"/>
        <v>4.0699999999999985</v>
      </c>
      <c r="B38" s="28" t="s">
        <v>60</v>
      </c>
      <c r="C38" s="39" t="s">
        <v>32</v>
      </c>
      <c r="D38" s="39">
        <v>2</v>
      </c>
      <c r="E38" s="78">
        <v>2866.3009999999999</v>
      </c>
      <c r="F38" s="75">
        <f t="shared" si="13"/>
        <v>5732.6019999999999</v>
      </c>
      <c r="G38" s="45"/>
      <c r="H38" s="76">
        <f t="shared" si="16"/>
        <v>2</v>
      </c>
      <c r="I38" s="66">
        <f t="shared" si="14"/>
        <v>2</v>
      </c>
      <c r="J38" s="72">
        <f t="shared" si="15"/>
        <v>1</v>
      </c>
      <c r="K38" s="61"/>
      <c r="L38" s="37">
        <f t="shared" si="17"/>
        <v>5732.6019999999999</v>
      </c>
      <c r="M38" s="38">
        <f t="shared" si="10"/>
        <v>5732.6019999999999</v>
      </c>
    </row>
    <row r="39" spans="1:14" ht="24.75">
      <c r="A39" s="77">
        <f t="shared" si="12"/>
        <v>4.0799999999999983</v>
      </c>
      <c r="B39" s="68" t="s">
        <v>61</v>
      </c>
      <c r="C39" s="39" t="s">
        <v>32</v>
      </c>
      <c r="D39" s="39">
        <v>1</v>
      </c>
      <c r="E39" s="78">
        <v>51894.541100000002</v>
      </c>
      <c r="F39" s="75">
        <f t="shared" si="13"/>
        <v>51894.541100000002</v>
      </c>
      <c r="G39" s="45"/>
      <c r="H39" s="76">
        <f t="shared" si="16"/>
        <v>1</v>
      </c>
      <c r="I39" s="66">
        <f t="shared" si="14"/>
        <v>1</v>
      </c>
      <c r="J39" s="72">
        <f t="shared" si="15"/>
        <v>1</v>
      </c>
      <c r="K39" s="61"/>
      <c r="L39" s="37">
        <f t="shared" si="17"/>
        <v>51894.541100000002</v>
      </c>
      <c r="M39" s="38">
        <f t="shared" si="10"/>
        <v>51894.541100000002</v>
      </c>
      <c r="N39" s="79"/>
    </row>
    <row r="40" spans="1:14" ht="24.75">
      <c r="A40" s="77">
        <f t="shared" si="12"/>
        <v>4.0899999999999981</v>
      </c>
      <c r="B40" s="68" t="s">
        <v>62</v>
      </c>
      <c r="C40" s="39" t="s">
        <v>32</v>
      </c>
      <c r="D40" s="39">
        <v>14</v>
      </c>
      <c r="E40" s="78">
        <v>1785</v>
      </c>
      <c r="F40" s="75">
        <f t="shared" si="13"/>
        <v>24990</v>
      </c>
      <c r="G40" s="45"/>
      <c r="H40" s="76">
        <f t="shared" si="16"/>
        <v>14</v>
      </c>
      <c r="I40" s="66">
        <f t="shared" si="14"/>
        <v>14</v>
      </c>
      <c r="J40" s="72">
        <f t="shared" si="15"/>
        <v>1</v>
      </c>
      <c r="K40" s="61"/>
      <c r="L40" s="37">
        <f t="shared" si="17"/>
        <v>24990</v>
      </c>
      <c r="M40" s="38">
        <f t="shared" si="10"/>
        <v>24990</v>
      </c>
      <c r="N40" s="80"/>
    </row>
    <row r="41" spans="1:14" ht="24.75">
      <c r="A41" s="77">
        <f t="shared" si="12"/>
        <v>4.0999999999999979</v>
      </c>
      <c r="B41" s="68" t="s">
        <v>63</v>
      </c>
      <c r="C41" s="39" t="s">
        <v>32</v>
      </c>
      <c r="D41" s="39">
        <v>6</v>
      </c>
      <c r="E41" s="78">
        <v>2550</v>
      </c>
      <c r="F41" s="75">
        <f t="shared" si="13"/>
        <v>15300</v>
      </c>
      <c r="G41" s="45"/>
      <c r="H41" s="76">
        <f t="shared" si="16"/>
        <v>6</v>
      </c>
      <c r="I41" s="66">
        <f t="shared" si="14"/>
        <v>6</v>
      </c>
      <c r="J41" s="72">
        <f t="shared" si="15"/>
        <v>1</v>
      </c>
      <c r="K41" s="61"/>
      <c r="L41" s="37">
        <f t="shared" si="17"/>
        <v>15300</v>
      </c>
      <c r="M41" s="38">
        <f t="shared" si="10"/>
        <v>15300</v>
      </c>
      <c r="N41" s="81"/>
    </row>
    <row r="42" spans="1:14">
      <c r="A42" s="77">
        <f t="shared" si="12"/>
        <v>4.1099999999999977</v>
      </c>
      <c r="B42" s="28" t="s">
        <v>64</v>
      </c>
      <c r="C42" s="39" t="s">
        <v>32</v>
      </c>
      <c r="D42" s="39">
        <v>2</v>
      </c>
      <c r="E42" s="78">
        <v>2474.6210999999998</v>
      </c>
      <c r="F42" s="75">
        <f t="shared" si="13"/>
        <v>4949.2421999999997</v>
      </c>
      <c r="G42" s="45"/>
      <c r="H42" s="76">
        <f t="shared" si="16"/>
        <v>2</v>
      </c>
      <c r="I42" s="66">
        <f t="shared" si="14"/>
        <v>2</v>
      </c>
      <c r="J42" s="72">
        <f t="shared" si="15"/>
        <v>1</v>
      </c>
      <c r="K42" s="61"/>
      <c r="L42" s="37">
        <f t="shared" si="17"/>
        <v>4949.2421999999997</v>
      </c>
      <c r="M42" s="38">
        <f t="shared" si="10"/>
        <v>4949.2421999999997</v>
      </c>
    </row>
    <row r="43" spans="1:14" ht="24.75">
      <c r="A43" s="77">
        <f t="shared" si="12"/>
        <v>4.1199999999999974</v>
      </c>
      <c r="B43" s="68" t="s">
        <v>65</v>
      </c>
      <c r="C43" s="39" t="s">
        <v>32</v>
      </c>
      <c r="D43" s="39">
        <v>2</v>
      </c>
      <c r="E43" s="78">
        <v>35586.78</v>
      </c>
      <c r="F43" s="75">
        <f t="shared" si="13"/>
        <v>71173.56</v>
      </c>
      <c r="G43" s="45"/>
      <c r="H43" s="76">
        <f t="shared" si="16"/>
        <v>2</v>
      </c>
      <c r="I43" s="66">
        <f t="shared" si="14"/>
        <v>2</v>
      </c>
      <c r="J43" s="72">
        <f t="shared" si="15"/>
        <v>1</v>
      </c>
      <c r="K43" s="61"/>
      <c r="L43" s="37">
        <f t="shared" si="17"/>
        <v>71173.56</v>
      </c>
      <c r="M43" s="38">
        <f t="shared" si="10"/>
        <v>71173.56</v>
      </c>
    </row>
    <row r="44" spans="1:14" ht="36.75">
      <c r="A44" s="77">
        <f t="shared" si="12"/>
        <v>4.1299999999999972</v>
      </c>
      <c r="B44" s="68" t="s">
        <v>66</v>
      </c>
      <c r="C44" s="39" t="s">
        <v>32</v>
      </c>
      <c r="D44" s="39">
        <v>4</v>
      </c>
      <c r="E44" s="78">
        <v>13005</v>
      </c>
      <c r="F44" s="75">
        <f t="shared" si="13"/>
        <v>52020</v>
      </c>
      <c r="G44" s="45"/>
      <c r="H44" s="76">
        <v>3</v>
      </c>
      <c r="I44" s="66">
        <f t="shared" si="14"/>
        <v>3</v>
      </c>
      <c r="J44" s="72">
        <f t="shared" si="15"/>
        <v>0.75</v>
      </c>
      <c r="K44" s="61"/>
      <c r="L44" s="37">
        <f t="shared" si="17"/>
        <v>39015</v>
      </c>
      <c r="M44" s="38">
        <f t="shared" si="10"/>
        <v>39015</v>
      </c>
    </row>
    <row r="45" spans="1:14">
      <c r="A45" s="77">
        <f t="shared" si="12"/>
        <v>4.139999999999997</v>
      </c>
      <c r="B45" s="28" t="s">
        <v>67</v>
      </c>
      <c r="C45" s="39" t="s">
        <v>32</v>
      </c>
      <c r="D45" s="39">
        <v>8</v>
      </c>
      <c r="E45" s="78">
        <v>7701</v>
      </c>
      <c r="F45" s="75">
        <f t="shared" si="13"/>
        <v>61608</v>
      </c>
      <c r="G45" s="45"/>
      <c r="H45" s="76">
        <v>6</v>
      </c>
      <c r="I45" s="66">
        <f t="shared" si="14"/>
        <v>6</v>
      </c>
      <c r="J45" s="72">
        <f t="shared" si="15"/>
        <v>0.75</v>
      </c>
      <c r="K45" s="61"/>
      <c r="L45" s="37">
        <f t="shared" si="17"/>
        <v>46206</v>
      </c>
      <c r="M45" s="38">
        <f t="shared" si="10"/>
        <v>46206</v>
      </c>
    </row>
    <row r="46" spans="1:14">
      <c r="A46" s="77">
        <f t="shared" si="12"/>
        <v>4.1499999999999968</v>
      </c>
      <c r="B46" s="28" t="s">
        <v>68</v>
      </c>
      <c r="C46" s="39" t="s">
        <v>32</v>
      </c>
      <c r="D46" s="39">
        <v>10</v>
      </c>
      <c r="E46" s="78">
        <v>6069</v>
      </c>
      <c r="F46" s="75">
        <f t="shared" si="13"/>
        <v>60690</v>
      </c>
      <c r="G46" s="45"/>
      <c r="H46" s="76">
        <v>8</v>
      </c>
      <c r="I46" s="66">
        <f t="shared" si="14"/>
        <v>8</v>
      </c>
      <c r="J46" s="72">
        <f t="shared" si="15"/>
        <v>0.8</v>
      </c>
      <c r="K46" s="61"/>
      <c r="L46" s="37">
        <f t="shared" si="17"/>
        <v>48552</v>
      </c>
      <c r="M46" s="38">
        <f t="shared" si="10"/>
        <v>48552</v>
      </c>
    </row>
    <row r="47" spans="1:14">
      <c r="A47" s="82">
        <f t="shared" si="12"/>
        <v>4.1599999999999966</v>
      </c>
      <c r="B47" s="83" t="s">
        <v>69</v>
      </c>
      <c r="C47" s="84" t="s">
        <v>32</v>
      </c>
      <c r="D47" s="84">
        <v>16</v>
      </c>
      <c r="E47" s="85">
        <v>3544.5</v>
      </c>
      <c r="F47" s="86">
        <f t="shared" si="13"/>
        <v>56712</v>
      </c>
      <c r="G47" s="45"/>
      <c r="H47" s="76">
        <v>8</v>
      </c>
      <c r="I47" s="66">
        <f t="shared" si="14"/>
        <v>8</v>
      </c>
      <c r="J47" s="72">
        <f t="shared" si="15"/>
        <v>0.5</v>
      </c>
      <c r="K47" s="61"/>
      <c r="L47" s="37">
        <f t="shared" si="17"/>
        <v>28356</v>
      </c>
      <c r="M47" s="38">
        <f t="shared" si="10"/>
        <v>28356</v>
      </c>
    </row>
    <row r="48" spans="1:14">
      <c r="A48" s="82">
        <f t="shared" si="12"/>
        <v>4.1699999999999964</v>
      </c>
      <c r="B48" s="87" t="s">
        <v>35</v>
      </c>
      <c r="C48" s="88" t="s">
        <v>70</v>
      </c>
      <c r="D48" s="89"/>
      <c r="E48" s="89"/>
      <c r="F48" s="90">
        <f>SUM(F32:F47)</f>
        <v>563046.4253</v>
      </c>
      <c r="G48" s="45"/>
      <c r="H48" s="19"/>
      <c r="I48" s="19"/>
      <c r="J48" s="19"/>
      <c r="K48" s="61"/>
      <c r="L48" s="53">
        <f>SUM(L32:L47)</f>
        <v>494145.4253</v>
      </c>
      <c r="M48" s="53">
        <f t="shared" si="10"/>
        <v>494145.4253</v>
      </c>
    </row>
    <row r="49" spans="1:23">
      <c r="A49" s="91">
        <v>5</v>
      </c>
      <c r="B49" s="92" t="s">
        <v>71</v>
      </c>
      <c r="C49" s="92"/>
      <c r="D49" s="92"/>
      <c r="E49" s="92"/>
      <c r="F49" s="92"/>
      <c r="G49" s="45"/>
      <c r="H49" s="19"/>
      <c r="I49" s="19"/>
      <c r="J49" s="19"/>
      <c r="K49" s="61"/>
      <c r="L49" s="53"/>
      <c r="M49" s="53"/>
    </row>
    <row r="50" spans="1:23">
      <c r="A50" s="77">
        <f>A49+0.01</f>
        <v>5.01</v>
      </c>
      <c r="B50" s="28" t="s">
        <v>72</v>
      </c>
      <c r="C50" s="39" t="s">
        <v>32</v>
      </c>
      <c r="D50" s="39">
        <v>10</v>
      </c>
      <c r="E50" s="93">
        <v>5322.3289999999997</v>
      </c>
      <c r="F50" s="75">
        <f>E50*D50</f>
        <v>53223.289999999994</v>
      </c>
      <c r="G50" s="32">
        <v>8</v>
      </c>
      <c r="H50" s="94"/>
      <c r="I50" s="66">
        <f t="shared" ref="I50" si="18">+G50+H50</f>
        <v>8</v>
      </c>
      <c r="J50" s="72">
        <f t="shared" ref="J50" si="19">I50/D50</f>
        <v>0.8</v>
      </c>
      <c r="K50" s="36">
        <f>G50*E50</f>
        <v>42578.631999999998</v>
      </c>
      <c r="L50" s="37">
        <f t="shared" ref="L50" si="20">H50*E50</f>
        <v>0</v>
      </c>
      <c r="M50" s="38">
        <f t="shared" ref="M50" si="21">K50+L50</f>
        <v>42578.631999999998</v>
      </c>
    </row>
    <row r="51" spans="1:23">
      <c r="A51" s="77">
        <f>A50+0.01</f>
        <v>5.0199999999999996</v>
      </c>
      <c r="B51" s="43" t="s">
        <v>35</v>
      </c>
      <c r="C51" s="28"/>
      <c r="D51" s="28"/>
      <c r="E51" s="28"/>
      <c r="F51" s="95">
        <f>SUM(F50)</f>
        <v>53223.289999999994</v>
      </c>
      <c r="G51" s="45"/>
      <c r="H51" s="19"/>
      <c r="I51" s="19"/>
      <c r="J51" s="19"/>
      <c r="K51" s="46">
        <f>SUM(K50)</f>
        <v>42578.631999999998</v>
      </c>
      <c r="L51" s="53">
        <f>SUM(L50)</f>
        <v>0</v>
      </c>
      <c r="M51" s="53">
        <f>SUM(M50)</f>
        <v>42578.631999999998</v>
      </c>
    </row>
    <row r="52" spans="1:23" ht="26.25">
      <c r="A52" s="48" t="s">
        <v>73</v>
      </c>
      <c r="B52" s="96" t="s">
        <v>74</v>
      </c>
      <c r="C52" s="24"/>
      <c r="D52" s="25"/>
      <c r="E52" s="25"/>
      <c r="F52" s="97"/>
      <c r="G52" s="45"/>
      <c r="H52" s="19"/>
      <c r="I52" s="19"/>
      <c r="J52" s="19"/>
      <c r="K52" s="61"/>
      <c r="L52" s="53"/>
      <c r="M52" s="53"/>
    </row>
    <row r="53" spans="1:23">
      <c r="A53" s="91">
        <v>1</v>
      </c>
      <c r="B53" s="23" t="s">
        <v>28</v>
      </c>
      <c r="C53" s="24"/>
      <c r="D53" s="25"/>
      <c r="E53" s="25"/>
      <c r="F53" s="97"/>
      <c r="G53" s="45"/>
      <c r="H53" s="19"/>
      <c r="I53" s="19"/>
      <c r="J53" s="19"/>
      <c r="K53" s="61"/>
      <c r="L53" s="53"/>
      <c r="M53" s="53"/>
    </row>
    <row r="54" spans="1:23">
      <c r="A54" s="77">
        <f>A53+0.01</f>
        <v>1.01</v>
      </c>
      <c r="B54" s="28" t="s">
        <v>29</v>
      </c>
      <c r="C54" s="29" t="s">
        <v>30</v>
      </c>
      <c r="D54" s="31">
        <v>2362.5</v>
      </c>
      <c r="E54" s="31">
        <v>143.49</v>
      </c>
      <c r="F54" s="31">
        <f t="shared" ref="F54:F57" si="22">D54*E54</f>
        <v>338995.125</v>
      </c>
      <c r="G54" s="98">
        <v>2000</v>
      </c>
      <c r="H54" s="19"/>
      <c r="I54" s="66">
        <f>+G54+H54</f>
        <v>2000</v>
      </c>
      <c r="J54" s="72">
        <f t="shared" ref="J54:J57" si="23">I54/D54</f>
        <v>0.84656084656084651</v>
      </c>
      <c r="K54" s="36">
        <f>G54*E54</f>
        <v>286980</v>
      </c>
      <c r="L54" s="37"/>
      <c r="M54" s="99">
        <f t="shared" ref="M54:M65" si="24">K54+L54</f>
        <v>286980</v>
      </c>
      <c r="N54" s="100"/>
      <c r="O54" s="101"/>
      <c r="P54" s="102"/>
      <c r="Q54" s="103"/>
      <c r="R54" s="103"/>
      <c r="S54" s="103"/>
      <c r="T54" s="104"/>
      <c r="U54" s="104"/>
      <c r="V54" s="104"/>
      <c r="W54" s="105"/>
    </row>
    <row r="55" spans="1:23">
      <c r="A55" s="77">
        <f t="shared" ref="A55:A58" si="25">A54+0.01</f>
        <v>1.02</v>
      </c>
      <c r="B55" s="28" t="s">
        <v>31</v>
      </c>
      <c r="C55" s="29" t="s">
        <v>32</v>
      </c>
      <c r="D55" s="30">
        <v>1</v>
      </c>
      <c r="E55" s="31">
        <v>30000</v>
      </c>
      <c r="F55" s="31">
        <f>D55*E55</f>
        <v>30000</v>
      </c>
      <c r="G55" s="32">
        <v>1</v>
      </c>
      <c r="H55" s="19"/>
      <c r="I55" s="66">
        <f>+G55+H55</f>
        <v>1</v>
      </c>
      <c r="J55" s="72">
        <f t="shared" si="23"/>
        <v>1</v>
      </c>
      <c r="K55" s="36">
        <f t="shared" ref="K55:K57" si="26">G55*E55</f>
        <v>30000</v>
      </c>
      <c r="L55" s="53"/>
      <c r="M55" s="99">
        <f t="shared" si="24"/>
        <v>30000</v>
      </c>
      <c r="N55" s="106"/>
      <c r="O55" s="101"/>
      <c r="P55" s="102"/>
      <c r="Q55" s="103"/>
      <c r="R55" s="103"/>
      <c r="S55" s="103"/>
      <c r="T55" s="104"/>
      <c r="U55" s="104"/>
      <c r="V55" s="104"/>
      <c r="W55" s="105"/>
    </row>
    <row r="56" spans="1:23">
      <c r="A56" s="77">
        <f t="shared" si="25"/>
        <v>1.03</v>
      </c>
      <c r="B56" s="28" t="s">
        <v>33</v>
      </c>
      <c r="C56" s="29" t="s">
        <v>30</v>
      </c>
      <c r="D56" s="31">
        <v>4725</v>
      </c>
      <c r="E56" s="31">
        <v>85</v>
      </c>
      <c r="F56" s="31">
        <f t="shared" si="22"/>
        <v>401625</v>
      </c>
      <c r="G56" s="32">
        <v>1800</v>
      </c>
      <c r="H56" s="19"/>
      <c r="I56" s="66">
        <f t="shared" ref="I56:I57" si="27">+G56+H56</f>
        <v>1800</v>
      </c>
      <c r="J56" s="72">
        <f t="shared" si="23"/>
        <v>0.38095238095238093</v>
      </c>
      <c r="K56" s="36">
        <f t="shared" si="26"/>
        <v>153000</v>
      </c>
      <c r="L56" s="53"/>
      <c r="M56" s="99">
        <f t="shared" si="24"/>
        <v>153000</v>
      </c>
      <c r="N56" s="107"/>
      <c r="O56" s="79"/>
      <c r="P56" s="108"/>
      <c r="Q56" s="109"/>
      <c r="R56" s="109"/>
      <c r="S56" s="109"/>
      <c r="T56" s="104"/>
      <c r="U56" s="104"/>
      <c r="V56" s="104"/>
      <c r="W56" s="110"/>
    </row>
    <row r="57" spans="1:23">
      <c r="A57" s="77">
        <f t="shared" si="25"/>
        <v>1.04</v>
      </c>
      <c r="B57" s="28" t="s">
        <v>34</v>
      </c>
      <c r="C57" s="41" t="s">
        <v>30</v>
      </c>
      <c r="D57" s="31">
        <v>2362.5</v>
      </c>
      <c r="E57" s="42">
        <v>25</v>
      </c>
      <c r="F57" s="31">
        <f t="shared" si="22"/>
        <v>59062.5</v>
      </c>
      <c r="G57" s="32">
        <v>2000</v>
      </c>
      <c r="H57" s="19"/>
      <c r="I57" s="66">
        <f t="shared" si="27"/>
        <v>2000</v>
      </c>
      <c r="J57" s="72">
        <f t="shared" si="23"/>
        <v>0.84656084656084651</v>
      </c>
      <c r="K57" s="36">
        <f t="shared" si="26"/>
        <v>50000</v>
      </c>
      <c r="L57" s="53"/>
      <c r="M57" s="99">
        <f t="shared" si="24"/>
        <v>50000</v>
      </c>
      <c r="N57" s="107"/>
      <c r="O57" s="79"/>
      <c r="P57" s="108"/>
      <c r="Q57" s="109"/>
      <c r="R57" s="109"/>
      <c r="S57" s="109"/>
      <c r="T57" s="104"/>
      <c r="U57" s="104"/>
      <c r="V57" s="104"/>
      <c r="W57" s="110"/>
    </row>
    <row r="58" spans="1:23">
      <c r="A58" s="77">
        <f t="shared" si="25"/>
        <v>1.05</v>
      </c>
      <c r="B58" s="43" t="s">
        <v>35</v>
      </c>
      <c r="C58" s="41"/>
      <c r="D58" s="42"/>
      <c r="E58" s="42"/>
      <c r="F58" s="111">
        <f>SUM(F54:F57)</f>
        <v>829682.625</v>
      </c>
      <c r="G58" s="112"/>
      <c r="H58" s="19"/>
      <c r="I58" s="19"/>
      <c r="J58" s="19"/>
      <c r="K58" s="46">
        <f>SUM(K54:K57)</f>
        <v>519980</v>
      </c>
      <c r="L58" s="53"/>
      <c r="M58" s="113">
        <f t="shared" si="24"/>
        <v>519980</v>
      </c>
      <c r="N58" s="107"/>
      <c r="O58" s="79"/>
      <c r="P58" s="114"/>
      <c r="Q58" s="115"/>
      <c r="R58" s="115"/>
      <c r="S58" s="109"/>
      <c r="T58" s="104"/>
      <c r="U58" s="104"/>
      <c r="V58" s="104"/>
      <c r="W58" s="110"/>
    </row>
    <row r="59" spans="1:23">
      <c r="A59" s="91">
        <v>2</v>
      </c>
      <c r="B59" s="116" t="s">
        <v>36</v>
      </c>
      <c r="C59" s="41"/>
      <c r="D59" s="28"/>
      <c r="E59" s="28"/>
      <c r="F59" s="28"/>
      <c r="G59" s="45"/>
      <c r="H59" s="19"/>
      <c r="I59" s="19"/>
      <c r="J59" s="19"/>
      <c r="K59" s="61"/>
      <c r="L59" s="53"/>
      <c r="M59" s="99"/>
      <c r="N59" s="107"/>
      <c r="O59" s="5"/>
      <c r="P59" s="114"/>
      <c r="Q59" s="115"/>
      <c r="R59" s="115"/>
      <c r="S59" s="117"/>
      <c r="T59" s="104"/>
      <c r="U59" s="104"/>
      <c r="V59" s="104"/>
      <c r="W59" s="105"/>
    </row>
    <row r="60" spans="1:23">
      <c r="A60" s="77">
        <f>A59+0.01</f>
        <v>2.0099999999999998</v>
      </c>
      <c r="B60" s="118" t="s">
        <v>37</v>
      </c>
      <c r="C60" s="41" t="s">
        <v>38</v>
      </c>
      <c r="D60" s="42">
        <v>1701</v>
      </c>
      <c r="E60" s="119">
        <v>562.31069958</v>
      </c>
      <c r="F60" s="31">
        <f t="shared" ref="F60:F64" si="28">D60*E60</f>
        <v>956490.49998557998</v>
      </c>
      <c r="G60" s="120">
        <v>1387.9982731600001</v>
      </c>
      <c r="H60" s="33"/>
      <c r="I60" s="66">
        <f t="shared" ref="I60:I61" si="29">+G60+H60</f>
        <v>1387.9982731600001</v>
      </c>
      <c r="J60" s="72">
        <f t="shared" ref="J60:J64" si="30">I60/D60</f>
        <v>0.81598957857730747</v>
      </c>
      <c r="K60" s="36">
        <f>G60*E60</f>
        <v>780486.27999643155</v>
      </c>
      <c r="L60" s="37"/>
      <c r="M60" s="99">
        <f t="shared" si="24"/>
        <v>780486.27999643155</v>
      </c>
      <c r="N60" s="106"/>
      <c r="O60" s="121"/>
      <c r="P60" s="114"/>
      <c r="Q60" s="115"/>
      <c r="R60" s="115"/>
      <c r="S60" s="115"/>
      <c r="T60" s="104"/>
      <c r="U60" s="104"/>
      <c r="V60" s="104"/>
      <c r="W60" s="105"/>
    </row>
    <row r="61" spans="1:23">
      <c r="A61" s="77">
        <f t="shared" ref="A61:A63" si="31">A60+0.01</f>
        <v>2.0199999999999996</v>
      </c>
      <c r="B61" s="118" t="s">
        <v>39</v>
      </c>
      <c r="C61" s="41" t="s">
        <v>38</v>
      </c>
      <c r="D61" s="54">
        <v>141.75</v>
      </c>
      <c r="E61" s="57">
        <v>2715.8200352700001</v>
      </c>
      <c r="F61" s="31">
        <f t="shared" si="28"/>
        <v>384967.48999952251</v>
      </c>
      <c r="G61" s="32">
        <v>191.28</v>
      </c>
      <c r="H61" s="32"/>
      <c r="I61" s="66">
        <f t="shared" si="29"/>
        <v>191.28</v>
      </c>
      <c r="J61" s="72">
        <f t="shared" si="30"/>
        <v>1.3494179894179894</v>
      </c>
      <c r="K61" s="36">
        <f>G61*2715.82</f>
        <v>519482.04960000003</v>
      </c>
      <c r="L61" s="37"/>
      <c r="M61" s="99">
        <f t="shared" si="24"/>
        <v>519482.04960000003</v>
      </c>
      <c r="N61" s="122"/>
      <c r="O61" s="79"/>
      <c r="P61" s="114"/>
      <c r="Q61" s="115"/>
      <c r="R61" s="115"/>
      <c r="S61" s="109"/>
      <c r="T61" s="104"/>
      <c r="U61" s="104"/>
      <c r="V61" s="104"/>
      <c r="W61" s="110"/>
    </row>
    <row r="62" spans="1:23">
      <c r="A62" s="77">
        <f t="shared" si="31"/>
        <v>2.0299999999999994</v>
      </c>
      <c r="B62" s="118" t="s">
        <v>40</v>
      </c>
      <c r="C62" s="41" t="s">
        <v>38</v>
      </c>
      <c r="D62" s="42">
        <v>737.1</v>
      </c>
      <c r="E62" s="28">
        <v>504.28499525159998</v>
      </c>
      <c r="F62" s="123">
        <f t="shared" si="28"/>
        <v>371708.46999995434</v>
      </c>
      <c r="G62" s="32">
        <v>356.4</v>
      </c>
      <c r="H62" s="32"/>
      <c r="I62" s="66">
        <f>+G62+H62</f>
        <v>356.4</v>
      </c>
      <c r="J62" s="72">
        <f t="shared" si="30"/>
        <v>0.48351648351648346</v>
      </c>
      <c r="K62" s="36">
        <f>G62*504.29</f>
        <v>179728.95600000001</v>
      </c>
      <c r="L62" s="53"/>
      <c r="M62" s="99">
        <f t="shared" si="24"/>
        <v>179728.95600000001</v>
      </c>
      <c r="N62" s="122"/>
      <c r="O62" s="5"/>
      <c r="P62" s="114"/>
      <c r="Q62" s="115"/>
      <c r="R62" s="115"/>
      <c r="S62" s="124"/>
      <c r="T62" s="104"/>
      <c r="U62" s="104"/>
      <c r="V62" s="104"/>
      <c r="W62" s="105"/>
    </row>
    <row r="63" spans="1:23">
      <c r="A63" s="77">
        <f t="shared" si="31"/>
        <v>2.0399999999999991</v>
      </c>
      <c r="B63" s="118" t="s">
        <v>41</v>
      </c>
      <c r="C63" s="41" t="s">
        <v>38</v>
      </c>
      <c r="D63" s="42">
        <v>1417.5</v>
      </c>
      <c r="E63" s="125">
        <v>719.98436409999999</v>
      </c>
      <c r="F63" s="123">
        <f t="shared" si="28"/>
        <v>1020577.83611175</v>
      </c>
      <c r="G63" s="32">
        <v>1195.1500000000001</v>
      </c>
      <c r="H63" s="126"/>
      <c r="I63" s="66">
        <f t="shared" ref="I63:I64" si="32">+G63+H63</f>
        <v>1195.1500000000001</v>
      </c>
      <c r="J63" s="72">
        <f t="shared" si="30"/>
        <v>0.84313932980599648</v>
      </c>
      <c r="K63" s="36">
        <f>G63*719.98</f>
        <v>860484.09700000007</v>
      </c>
      <c r="L63" s="53"/>
      <c r="M63" s="99">
        <f t="shared" si="24"/>
        <v>860484.09700000007</v>
      </c>
      <c r="N63" s="106"/>
      <c r="O63" s="121"/>
      <c r="P63" s="114"/>
      <c r="Q63" s="79"/>
      <c r="R63" s="79"/>
      <c r="S63" s="79"/>
      <c r="T63" s="104"/>
      <c r="U63" s="104"/>
      <c r="V63" s="104"/>
      <c r="W63" s="105"/>
    </row>
    <row r="64" spans="1:23">
      <c r="A64" s="77"/>
      <c r="B64" s="28" t="s">
        <v>75</v>
      </c>
      <c r="C64" s="41" t="s">
        <v>43</v>
      </c>
      <c r="D64" s="51">
        <v>300</v>
      </c>
      <c r="E64" s="42">
        <v>2400</v>
      </c>
      <c r="F64" s="31">
        <f t="shared" si="28"/>
        <v>720000</v>
      </c>
      <c r="G64" s="40">
        <v>180</v>
      </c>
      <c r="H64" s="40">
        <v>75</v>
      </c>
      <c r="I64" s="66">
        <f t="shared" si="32"/>
        <v>255</v>
      </c>
      <c r="J64" s="72">
        <f t="shared" si="30"/>
        <v>0.85</v>
      </c>
      <c r="K64" s="36">
        <f>G64*E64</f>
        <v>432000</v>
      </c>
      <c r="L64" s="37">
        <f t="shared" ref="L64" si="33">H64*E64</f>
        <v>180000</v>
      </c>
      <c r="M64" s="99">
        <f t="shared" si="24"/>
        <v>612000</v>
      </c>
      <c r="N64" s="122"/>
      <c r="O64" s="79"/>
      <c r="P64" s="114"/>
      <c r="Q64" s="115"/>
      <c r="R64" s="79"/>
      <c r="S64" s="109"/>
      <c r="T64" s="104"/>
      <c r="U64" s="104"/>
      <c r="V64" s="104"/>
      <c r="W64" s="110"/>
    </row>
    <row r="65" spans="1:23">
      <c r="A65" s="77">
        <f>A63+0.01</f>
        <v>2.0499999999999989</v>
      </c>
      <c r="B65" s="43" t="s">
        <v>35</v>
      </c>
      <c r="C65" s="41"/>
      <c r="D65" s="28"/>
      <c r="E65" s="28"/>
      <c r="F65" s="44">
        <f>SUM(F60:F64)</f>
        <v>3453744.2960968069</v>
      </c>
      <c r="G65" s="45"/>
      <c r="H65" s="45"/>
      <c r="I65" s="19"/>
      <c r="J65" s="19"/>
      <c r="K65" s="46">
        <f>SUM(K60:K64)</f>
        <v>2772181.3825964313</v>
      </c>
      <c r="L65" s="53">
        <f>SUM(L60:L64)</f>
        <v>180000</v>
      </c>
      <c r="M65" s="113">
        <f t="shared" si="24"/>
        <v>2952181.3825964313</v>
      </c>
      <c r="N65" s="122"/>
      <c r="O65" s="79"/>
      <c r="P65" s="114"/>
      <c r="Q65" s="115"/>
      <c r="R65" s="79"/>
      <c r="S65" s="109"/>
      <c r="T65" s="104"/>
      <c r="U65" s="104"/>
      <c r="V65" s="104"/>
      <c r="W65" s="110"/>
    </row>
    <row r="66" spans="1:23">
      <c r="A66" s="91">
        <v>3</v>
      </c>
      <c r="B66" s="116" t="s">
        <v>45</v>
      </c>
      <c r="C66" s="41"/>
      <c r="D66" s="42"/>
      <c r="E66" s="42"/>
      <c r="F66" s="127"/>
      <c r="G66" s="45"/>
      <c r="H66" s="45"/>
      <c r="I66" s="19"/>
      <c r="J66" s="19"/>
      <c r="K66" s="61"/>
      <c r="L66" s="53"/>
      <c r="M66" s="128"/>
      <c r="N66" s="122"/>
      <c r="O66" s="79"/>
      <c r="P66" s="114"/>
      <c r="Q66" s="115"/>
      <c r="R66" s="79"/>
      <c r="S66" s="109"/>
      <c r="T66" s="104"/>
      <c r="U66" s="104"/>
      <c r="V66" s="104"/>
      <c r="W66" s="110"/>
    </row>
    <row r="67" spans="1:23">
      <c r="A67" s="77">
        <f>A66+0.01</f>
        <v>3.01</v>
      </c>
      <c r="B67" s="118" t="s">
        <v>76</v>
      </c>
      <c r="C67" s="41" t="s">
        <v>30</v>
      </c>
      <c r="D67" s="42">
        <v>2362.5</v>
      </c>
      <c r="E67" s="42">
        <v>2022.65</v>
      </c>
      <c r="F67" s="31">
        <f t="shared" ref="F67" si="34">D67*E67</f>
        <v>4778510.625</v>
      </c>
      <c r="G67" s="32">
        <v>2150</v>
      </c>
      <c r="H67" s="32"/>
      <c r="I67" s="66">
        <f t="shared" ref="I67" si="35">+G67+H67</f>
        <v>2150</v>
      </c>
      <c r="J67" s="72">
        <f t="shared" ref="J67" si="36">I67/D67</f>
        <v>0.91005291005291</v>
      </c>
      <c r="K67" s="36">
        <f t="shared" ref="K67" si="37">G67*E67</f>
        <v>4348697.5</v>
      </c>
      <c r="L67" s="37">
        <f t="shared" ref="L67" si="38">H67*E67</f>
        <v>0</v>
      </c>
      <c r="M67" s="99">
        <f t="shared" ref="M67:M70" si="39">K67+L67</f>
        <v>4348697.5</v>
      </c>
      <c r="N67" s="122"/>
      <c r="O67" s="79"/>
      <c r="P67" s="114"/>
      <c r="Q67" s="115"/>
      <c r="R67" s="79"/>
      <c r="S67" s="109"/>
      <c r="T67" s="104"/>
      <c r="U67" s="104"/>
      <c r="V67" s="104"/>
      <c r="W67" s="110"/>
    </row>
    <row r="68" spans="1:23" ht="24.75">
      <c r="A68" s="77">
        <f>A67+0.01</f>
        <v>3.0199999999999996</v>
      </c>
      <c r="B68" s="129" t="s">
        <v>77</v>
      </c>
      <c r="C68" s="130" t="s">
        <v>32</v>
      </c>
      <c r="D68" s="131">
        <v>1</v>
      </c>
      <c r="E68" s="130">
        <v>493697.17</v>
      </c>
      <c r="F68" s="131">
        <f>D68*E68</f>
        <v>493697.17</v>
      </c>
      <c r="G68" s="45"/>
      <c r="H68" s="19"/>
      <c r="I68" s="19"/>
      <c r="J68" s="19"/>
      <c r="K68" s="61"/>
      <c r="L68" s="53"/>
      <c r="M68" s="99"/>
      <c r="N68" s="122"/>
      <c r="O68" s="5"/>
      <c r="P68" s="114"/>
      <c r="Q68" s="79"/>
      <c r="R68" s="79"/>
      <c r="S68" s="124"/>
      <c r="T68" s="104"/>
      <c r="U68" s="104"/>
      <c r="V68" s="104"/>
      <c r="W68" s="104"/>
    </row>
    <row r="69" spans="1:23" ht="24.75">
      <c r="A69" s="77">
        <f>A68+0.01</f>
        <v>3.0299999999999994</v>
      </c>
      <c r="B69" s="129" t="s">
        <v>78</v>
      </c>
      <c r="C69" s="130" t="s">
        <v>32</v>
      </c>
      <c r="D69" s="131">
        <v>1</v>
      </c>
      <c r="E69" s="132">
        <v>287575.989</v>
      </c>
      <c r="F69" s="131">
        <f>D69*E69</f>
        <v>287575.989</v>
      </c>
      <c r="G69" s="45"/>
      <c r="H69" s="19"/>
      <c r="I69" s="19"/>
      <c r="J69" s="19"/>
      <c r="K69" s="61"/>
      <c r="L69" s="53"/>
      <c r="M69" s="38"/>
    </row>
    <row r="70" spans="1:23">
      <c r="A70" s="77"/>
      <c r="B70" s="43" t="s">
        <v>35</v>
      </c>
      <c r="C70" s="41"/>
      <c r="D70" s="28"/>
      <c r="E70" s="28"/>
      <c r="F70" s="44">
        <f>SUM(F66:F69)</f>
        <v>5559783.784</v>
      </c>
      <c r="G70" s="45"/>
      <c r="H70" s="19"/>
      <c r="I70" s="19"/>
      <c r="J70" s="19"/>
      <c r="K70" s="46">
        <f>SUM(K67:K69)</f>
        <v>4348697.5</v>
      </c>
      <c r="L70" s="53">
        <f>SUM(L67:L69)</f>
        <v>0</v>
      </c>
      <c r="M70" s="47">
        <f t="shared" si="39"/>
        <v>4348697.5</v>
      </c>
    </row>
    <row r="71" spans="1:23">
      <c r="A71" s="59">
        <v>4</v>
      </c>
      <c r="B71" s="73" t="s">
        <v>53</v>
      </c>
      <c r="C71" s="74"/>
      <c r="D71" s="74"/>
      <c r="E71" s="74"/>
      <c r="F71" s="74"/>
      <c r="G71" s="45"/>
      <c r="H71" s="19"/>
      <c r="I71" s="19"/>
      <c r="J71" s="19"/>
      <c r="K71" s="61"/>
      <c r="L71" s="53"/>
      <c r="M71" s="53"/>
    </row>
    <row r="72" spans="1:23" ht="18" customHeight="1">
      <c r="A72" s="39">
        <f t="shared" ref="A72:A78" si="40">A71+0.01</f>
        <v>4.01</v>
      </c>
      <c r="B72" s="68" t="s">
        <v>54</v>
      </c>
      <c r="C72" s="39" t="s">
        <v>32</v>
      </c>
      <c r="D72" s="41">
        <v>8</v>
      </c>
      <c r="E72" s="75">
        <v>2295</v>
      </c>
      <c r="F72" s="75">
        <f t="shared" ref="F72:F77" si="41">E72*D72</f>
        <v>18360</v>
      </c>
      <c r="G72" s="32"/>
      <c r="H72" s="32">
        <v>8</v>
      </c>
      <c r="I72" s="66">
        <f t="shared" ref="I72:I80" si="42">+G72+H72</f>
        <v>8</v>
      </c>
      <c r="J72" s="72">
        <f t="shared" ref="J72:J80" si="43">I72/D72</f>
        <v>1</v>
      </c>
      <c r="K72" s="36">
        <f t="shared" ref="K72:K77" si="44">G72*E72</f>
        <v>0</v>
      </c>
      <c r="L72" s="37">
        <f t="shared" ref="L72:L80" si="45">H72*E72</f>
        <v>18360</v>
      </c>
      <c r="M72" s="38">
        <f t="shared" ref="M72:M81" si="46">K72+L72</f>
        <v>18360</v>
      </c>
    </row>
    <row r="73" spans="1:23" ht="15" customHeight="1">
      <c r="A73" s="77">
        <f t="shared" si="40"/>
        <v>4.0199999999999996</v>
      </c>
      <c r="B73" s="68" t="s">
        <v>55</v>
      </c>
      <c r="C73" s="39" t="s">
        <v>32</v>
      </c>
      <c r="D73" s="41">
        <v>2</v>
      </c>
      <c r="E73" s="75">
        <v>3570</v>
      </c>
      <c r="F73" s="75">
        <f t="shared" si="41"/>
        <v>7140</v>
      </c>
      <c r="G73" s="32"/>
      <c r="H73" s="32">
        <v>2</v>
      </c>
      <c r="I73" s="66">
        <f t="shared" si="42"/>
        <v>2</v>
      </c>
      <c r="J73" s="72">
        <f t="shared" si="43"/>
        <v>1</v>
      </c>
      <c r="K73" s="36"/>
      <c r="L73" s="37">
        <f t="shared" si="45"/>
        <v>7140</v>
      </c>
      <c r="M73" s="38"/>
    </row>
    <row r="74" spans="1:23">
      <c r="A74" s="77">
        <f t="shared" si="40"/>
        <v>4.0299999999999994</v>
      </c>
      <c r="B74" s="28" t="s">
        <v>56</v>
      </c>
      <c r="C74" s="39" t="s">
        <v>32</v>
      </c>
      <c r="D74" s="41">
        <v>4</v>
      </c>
      <c r="E74" s="78">
        <v>3841.78</v>
      </c>
      <c r="F74" s="75">
        <f t="shared" si="41"/>
        <v>15367.12</v>
      </c>
      <c r="G74" s="32">
        <v>4</v>
      </c>
      <c r="H74" s="32"/>
      <c r="I74" s="66">
        <f t="shared" si="42"/>
        <v>4</v>
      </c>
      <c r="J74" s="72">
        <f t="shared" si="43"/>
        <v>1</v>
      </c>
      <c r="K74" s="36">
        <f t="shared" si="44"/>
        <v>15367.12</v>
      </c>
      <c r="L74" s="37">
        <f t="shared" si="45"/>
        <v>0</v>
      </c>
      <c r="M74" s="38">
        <f t="shared" si="46"/>
        <v>15367.12</v>
      </c>
    </row>
    <row r="75" spans="1:23" ht="24.75">
      <c r="A75" s="77">
        <f t="shared" si="40"/>
        <v>4.0399999999999991</v>
      </c>
      <c r="B75" s="68" t="s">
        <v>57</v>
      </c>
      <c r="C75" s="39" t="s">
        <v>32</v>
      </c>
      <c r="D75" s="41">
        <v>2</v>
      </c>
      <c r="E75" s="78">
        <v>59642.46</v>
      </c>
      <c r="F75" s="75">
        <f t="shared" si="41"/>
        <v>119284.92</v>
      </c>
      <c r="G75" s="32">
        <v>1</v>
      </c>
      <c r="H75" s="32"/>
      <c r="I75" s="66">
        <f t="shared" si="42"/>
        <v>1</v>
      </c>
      <c r="J75" s="72">
        <f t="shared" si="43"/>
        <v>0.5</v>
      </c>
      <c r="K75" s="36">
        <f t="shared" si="44"/>
        <v>59642.46</v>
      </c>
      <c r="L75" s="37">
        <f t="shared" si="45"/>
        <v>0</v>
      </c>
      <c r="M75" s="38">
        <f t="shared" si="46"/>
        <v>59642.46</v>
      </c>
    </row>
    <row r="76" spans="1:23" ht="36.75">
      <c r="A76" s="77">
        <f t="shared" si="40"/>
        <v>4.0499999999999989</v>
      </c>
      <c r="B76" s="68" t="s">
        <v>66</v>
      </c>
      <c r="C76" s="39" t="s">
        <v>32</v>
      </c>
      <c r="D76" s="41">
        <v>4</v>
      </c>
      <c r="E76" s="78">
        <v>13005</v>
      </c>
      <c r="F76" s="75">
        <f t="shared" si="41"/>
        <v>52020</v>
      </c>
      <c r="G76" s="32">
        <v>2</v>
      </c>
      <c r="H76" s="32"/>
      <c r="I76" s="66">
        <f t="shared" si="42"/>
        <v>2</v>
      </c>
      <c r="J76" s="72">
        <f t="shared" si="43"/>
        <v>0.5</v>
      </c>
      <c r="K76" s="36">
        <f t="shared" si="44"/>
        <v>26010</v>
      </c>
      <c r="L76" s="37">
        <f t="shared" si="45"/>
        <v>0</v>
      </c>
      <c r="M76" s="38">
        <f t="shared" si="46"/>
        <v>26010</v>
      </c>
    </row>
    <row r="77" spans="1:23">
      <c r="A77" s="77">
        <f t="shared" si="40"/>
        <v>4.0599999999999987</v>
      </c>
      <c r="B77" s="28" t="s">
        <v>67</v>
      </c>
      <c r="C77" s="39" t="s">
        <v>32</v>
      </c>
      <c r="D77" s="41">
        <v>16</v>
      </c>
      <c r="E77" s="78">
        <v>7701</v>
      </c>
      <c r="F77" s="75">
        <f t="shared" si="41"/>
        <v>123216</v>
      </c>
      <c r="G77" s="32">
        <v>8</v>
      </c>
      <c r="H77" s="32"/>
      <c r="I77" s="66">
        <f t="shared" si="42"/>
        <v>8</v>
      </c>
      <c r="J77" s="72">
        <f t="shared" si="43"/>
        <v>0.5</v>
      </c>
      <c r="K77" s="36">
        <f t="shared" si="44"/>
        <v>61608</v>
      </c>
      <c r="L77" s="37">
        <f t="shared" si="45"/>
        <v>0</v>
      </c>
      <c r="M77" s="38">
        <f t="shared" si="46"/>
        <v>61608</v>
      </c>
    </row>
    <row r="78" spans="1:23">
      <c r="A78" s="77">
        <f t="shared" si="40"/>
        <v>4.0699999999999985</v>
      </c>
      <c r="B78" s="43" t="s">
        <v>35</v>
      </c>
      <c r="C78" s="92" t="s">
        <v>70</v>
      </c>
      <c r="D78" s="133"/>
      <c r="E78" s="133"/>
      <c r="F78" s="134">
        <f>SUM(F72:F77)</f>
        <v>335388.04000000004</v>
      </c>
      <c r="G78" s="32"/>
      <c r="H78" s="32"/>
      <c r="I78" s="66"/>
      <c r="J78" s="72"/>
      <c r="K78" s="46">
        <f>SUM(K72:K77)</f>
        <v>162627.58000000002</v>
      </c>
      <c r="L78" s="53">
        <f>SUM(L72:L77)</f>
        <v>25500</v>
      </c>
      <c r="M78" s="47">
        <f t="shared" si="46"/>
        <v>188127.58000000002</v>
      </c>
    </row>
    <row r="79" spans="1:23">
      <c r="A79" s="91">
        <v>5</v>
      </c>
      <c r="B79" s="92" t="s">
        <v>71</v>
      </c>
      <c r="C79" s="92"/>
      <c r="D79" s="92"/>
      <c r="E79" s="92"/>
      <c r="F79" s="92"/>
      <c r="G79" s="32"/>
      <c r="H79" s="32"/>
      <c r="I79" s="66"/>
      <c r="J79" s="72"/>
      <c r="K79" s="61"/>
      <c r="L79" s="37"/>
      <c r="M79" s="38"/>
    </row>
    <row r="80" spans="1:23">
      <c r="A80" s="77">
        <f>A79+0.01</f>
        <v>5.01</v>
      </c>
      <c r="B80" s="28" t="s">
        <v>72</v>
      </c>
      <c r="C80" s="39" t="s">
        <v>32</v>
      </c>
      <c r="D80" s="41">
        <v>20</v>
      </c>
      <c r="E80" s="78">
        <v>5322.3294999999998</v>
      </c>
      <c r="F80" s="75">
        <f>E80*D80</f>
        <v>106446.59</v>
      </c>
      <c r="G80" s="32">
        <v>8</v>
      </c>
      <c r="H80" s="32">
        <v>8</v>
      </c>
      <c r="I80" s="66">
        <f t="shared" si="42"/>
        <v>16</v>
      </c>
      <c r="J80" s="72">
        <f t="shared" si="43"/>
        <v>0.8</v>
      </c>
      <c r="K80" s="36">
        <f t="shared" ref="K80" si="47">G80*E80</f>
        <v>42578.635999999999</v>
      </c>
      <c r="L80" s="37">
        <f t="shared" si="45"/>
        <v>42578.635999999999</v>
      </c>
      <c r="M80" s="38">
        <f t="shared" si="46"/>
        <v>85157.271999999997</v>
      </c>
    </row>
    <row r="81" spans="1:13">
      <c r="A81" s="77">
        <f>A80+0.01</f>
        <v>5.0199999999999996</v>
      </c>
      <c r="B81" s="43" t="s">
        <v>35</v>
      </c>
      <c r="C81" s="28"/>
      <c r="D81" s="28"/>
      <c r="E81" s="28"/>
      <c r="F81" s="95">
        <f>SUM(F80)</f>
        <v>106446.59</v>
      </c>
      <c r="G81" s="45"/>
      <c r="H81" s="19"/>
      <c r="I81" s="19"/>
      <c r="J81" s="19"/>
      <c r="K81" s="46">
        <f>SUM(K80)</f>
        <v>42578.635999999999</v>
      </c>
      <c r="L81" s="53">
        <f>SUM(L80)</f>
        <v>42578.635999999999</v>
      </c>
      <c r="M81" s="47">
        <f t="shared" si="46"/>
        <v>85157.271999999997</v>
      </c>
    </row>
    <row r="82" spans="1:13">
      <c r="A82" s="91">
        <v>6</v>
      </c>
      <c r="B82" s="49" t="s">
        <v>79</v>
      </c>
      <c r="C82" s="41"/>
      <c r="D82" s="28"/>
      <c r="E82" s="28"/>
      <c r="F82" s="28"/>
      <c r="G82" s="45"/>
      <c r="H82" s="19"/>
      <c r="I82" s="19"/>
      <c r="J82" s="19"/>
      <c r="K82" s="61"/>
      <c r="L82" s="53"/>
      <c r="M82" s="53"/>
    </row>
    <row r="83" spans="1:13">
      <c r="A83" s="77">
        <f>A82+0.01</f>
        <v>6.01</v>
      </c>
      <c r="B83" s="28" t="s">
        <v>80</v>
      </c>
      <c r="C83" s="135" t="s">
        <v>32</v>
      </c>
      <c r="D83" s="28">
        <v>2</v>
      </c>
      <c r="E83" s="42">
        <v>75000</v>
      </c>
      <c r="F83" s="136">
        <f>E83*D83</f>
        <v>150000</v>
      </c>
      <c r="G83" s="137">
        <v>2</v>
      </c>
      <c r="H83" s="138"/>
      <c r="I83" s="66">
        <f t="shared" ref="I83:I86" si="48">+G83+H83</f>
        <v>2</v>
      </c>
      <c r="J83" s="72">
        <f t="shared" ref="J83:J86" si="49">I83/D83</f>
        <v>1</v>
      </c>
      <c r="K83" s="36">
        <f t="shared" ref="K83:K86" si="50">G83*E83</f>
        <v>150000</v>
      </c>
      <c r="L83" s="53"/>
      <c r="M83" s="38">
        <f t="shared" ref="M83:M92" si="51">K83+L83</f>
        <v>150000</v>
      </c>
    </row>
    <row r="84" spans="1:13">
      <c r="A84" s="39">
        <f>A83+0.01</f>
        <v>6.02</v>
      </c>
      <c r="B84" s="28" t="s">
        <v>81</v>
      </c>
      <c r="C84" s="135" t="s">
        <v>32</v>
      </c>
      <c r="D84" s="28">
        <v>2</v>
      </c>
      <c r="E84" s="42">
        <v>15000</v>
      </c>
      <c r="F84" s="136">
        <f t="shared" ref="F84:F86" si="52">E84*D84</f>
        <v>30000</v>
      </c>
      <c r="G84" s="137">
        <v>2</v>
      </c>
      <c r="H84" s="138"/>
      <c r="I84" s="66">
        <f t="shared" si="48"/>
        <v>2</v>
      </c>
      <c r="J84" s="72">
        <f t="shared" si="49"/>
        <v>1</v>
      </c>
      <c r="K84" s="36">
        <f t="shared" si="50"/>
        <v>30000</v>
      </c>
      <c r="L84" s="53"/>
      <c r="M84" s="38">
        <f t="shared" si="51"/>
        <v>30000</v>
      </c>
    </row>
    <row r="85" spans="1:13">
      <c r="A85" s="39">
        <f>A84+0.01</f>
        <v>6.0299999999999994</v>
      </c>
      <c r="B85" s="28" t="s">
        <v>82</v>
      </c>
      <c r="C85" s="135" t="s">
        <v>32</v>
      </c>
      <c r="D85" s="28">
        <v>2</v>
      </c>
      <c r="E85" s="42">
        <v>20000</v>
      </c>
      <c r="F85" s="136">
        <f t="shared" si="52"/>
        <v>40000</v>
      </c>
      <c r="G85" s="137">
        <v>2</v>
      </c>
      <c r="H85" s="32"/>
      <c r="I85" s="66">
        <f t="shared" si="48"/>
        <v>2</v>
      </c>
      <c r="J85" s="72">
        <f t="shared" si="49"/>
        <v>1</v>
      </c>
      <c r="K85" s="36">
        <f t="shared" si="50"/>
        <v>40000</v>
      </c>
      <c r="L85" s="37">
        <f t="shared" ref="L85" si="53">H85*E85</f>
        <v>0</v>
      </c>
      <c r="M85" s="38">
        <f t="shared" si="51"/>
        <v>40000</v>
      </c>
    </row>
    <row r="86" spans="1:13">
      <c r="A86" s="39">
        <f>A85+0.01</f>
        <v>6.0399999999999991</v>
      </c>
      <c r="B86" s="28" t="s">
        <v>83</v>
      </c>
      <c r="C86" s="135" t="s">
        <v>32</v>
      </c>
      <c r="D86" s="28">
        <v>2</v>
      </c>
      <c r="E86" s="42">
        <v>5000</v>
      </c>
      <c r="F86" s="136">
        <f t="shared" si="52"/>
        <v>10000</v>
      </c>
      <c r="G86" s="137">
        <v>2</v>
      </c>
      <c r="H86" s="112"/>
      <c r="I86" s="66">
        <f t="shared" si="48"/>
        <v>2</v>
      </c>
      <c r="J86" s="72">
        <f t="shared" si="49"/>
        <v>1</v>
      </c>
      <c r="K86" s="36">
        <f t="shared" si="50"/>
        <v>10000</v>
      </c>
      <c r="L86" s="53"/>
      <c r="M86" s="38">
        <f t="shared" si="51"/>
        <v>10000</v>
      </c>
    </row>
    <row r="87" spans="1:13">
      <c r="A87" s="39">
        <f>A86+0.01</f>
        <v>6.0499999999999989</v>
      </c>
      <c r="B87" s="43" t="s">
        <v>35</v>
      </c>
      <c r="C87" s="139"/>
      <c r="D87" s="28"/>
      <c r="E87" s="42"/>
      <c r="F87" s="44">
        <f>SUM(F83:F86)</f>
        <v>230000</v>
      </c>
      <c r="G87" s="112"/>
      <c r="H87" s="112"/>
      <c r="I87" s="19"/>
      <c r="J87" s="19"/>
      <c r="K87" s="46">
        <f>SUM(K83:K86)</f>
        <v>230000</v>
      </c>
      <c r="L87" s="53">
        <f>SUM(L85:L86)</f>
        <v>0</v>
      </c>
      <c r="M87" s="47">
        <f t="shared" si="51"/>
        <v>230000</v>
      </c>
    </row>
    <row r="88" spans="1:13" ht="15.75">
      <c r="A88" s="140" t="s">
        <v>84</v>
      </c>
      <c r="B88" s="92" t="s">
        <v>85</v>
      </c>
      <c r="C88" s="141"/>
      <c r="D88" s="141"/>
      <c r="E88" s="58"/>
      <c r="F88" s="141"/>
      <c r="G88" s="138"/>
      <c r="H88" s="112"/>
      <c r="I88" s="19"/>
      <c r="J88" s="19"/>
      <c r="K88" s="61"/>
      <c r="L88" s="53"/>
      <c r="M88" s="38"/>
    </row>
    <row r="89" spans="1:13">
      <c r="A89" s="142">
        <v>1</v>
      </c>
      <c r="B89" s="92" t="s">
        <v>86</v>
      </c>
      <c r="C89" s="143"/>
      <c r="D89" s="143"/>
      <c r="E89" s="141"/>
      <c r="F89" s="143"/>
      <c r="G89" s="138"/>
      <c r="H89" s="112"/>
      <c r="I89" s="19"/>
      <c r="J89" s="19"/>
      <c r="K89" s="61"/>
      <c r="L89" s="53"/>
      <c r="M89" s="38"/>
    </row>
    <row r="90" spans="1:13" ht="24.75">
      <c r="A90" s="77">
        <f>A89+0.01</f>
        <v>1.01</v>
      </c>
      <c r="B90" s="68" t="s">
        <v>87</v>
      </c>
      <c r="C90" s="39" t="s">
        <v>88</v>
      </c>
      <c r="D90" s="39">
        <v>1</v>
      </c>
      <c r="E90" s="75">
        <f>385368.62</f>
        <v>385368.62</v>
      </c>
      <c r="F90" s="75">
        <f>E90*D90</f>
        <v>385368.62</v>
      </c>
      <c r="G90" s="32">
        <v>1</v>
      </c>
      <c r="H90" s="32"/>
      <c r="I90" s="66">
        <f t="shared" ref="I90" si="54">+G90+H90</f>
        <v>1</v>
      </c>
      <c r="J90" s="72">
        <f t="shared" ref="J90" si="55">I90/D90</f>
        <v>1</v>
      </c>
      <c r="K90" s="36">
        <f t="shared" ref="K90" si="56">G90*E90</f>
        <v>385368.62</v>
      </c>
      <c r="L90" s="37">
        <f t="shared" ref="L90" si="57">H90*E90</f>
        <v>0</v>
      </c>
      <c r="M90" s="38">
        <f t="shared" si="51"/>
        <v>385368.62</v>
      </c>
    </row>
    <row r="91" spans="1:13" ht="24.75">
      <c r="A91" s="77">
        <f>A90+0.01</f>
        <v>1.02</v>
      </c>
      <c r="B91" s="68" t="s">
        <v>89</v>
      </c>
      <c r="C91" s="39" t="s">
        <v>88</v>
      </c>
      <c r="D91" s="39">
        <v>1</v>
      </c>
      <c r="E91" s="75">
        <v>818016.42</v>
      </c>
      <c r="F91" s="75">
        <f>E91*D91</f>
        <v>818016.42</v>
      </c>
      <c r="G91" s="138"/>
      <c r="H91" s="138"/>
      <c r="I91" s="19"/>
      <c r="J91" s="19"/>
      <c r="K91" s="61"/>
      <c r="L91" s="53"/>
      <c r="M91" s="38"/>
    </row>
    <row r="92" spans="1:13">
      <c r="A92" s="77">
        <f>A91+0.01</f>
        <v>1.03</v>
      </c>
      <c r="B92" s="43" t="s">
        <v>35</v>
      </c>
      <c r="C92" s="139"/>
      <c r="D92" s="28"/>
      <c r="E92" s="42"/>
      <c r="F92" s="44">
        <f>SUM(F88:F91)</f>
        <v>1203385.04</v>
      </c>
      <c r="G92" s="138"/>
      <c r="H92" s="138"/>
      <c r="I92" s="19"/>
      <c r="J92" s="19"/>
      <c r="K92" s="46">
        <f>SUM(K90:K91)</f>
        <v>385368.62</v>
      </c>
      <c r="L92" s="53">
        <f>SUM(L90:L91)</f>
        <v>0</v>
      </c>
      <c r="M92" s="47">
        <f t="shared" si="51"/>
        <v>385368.62</v>
      </c>
    </row>
    <row r="93" spans="1:13">
      <c r="B93" s="8" t="s">
        <v>90</v>
      </c>
      <c r="C93" s="79"/>
      <c r="D93" s="79"/>
      <c r="E93" s="79"/>
      <c r="F93" s="144">
        <f>F92+F87+F81+F78+F70+F65+F58+F51+F30+F22+F15</f>
        <v>19328814.453738935</v>
      </c>
      <c r="G93" s="144"/>
      <c r="H93" s="145"/>
      <c r="I93" s="144"/>
      <c r="J93" s="146"/>
      <c r="K93" s="147">
        <f>K92+K87+K81+K78+K70+K65+K58+K51+K30+K22+K15</f>
        <v>15491458.862307413</v>
      </c>
      <c r="L93" s="147">
        <f>L15+L48+L30+L81+L78+L65</f>
        <v>1051312.6938</v>
      </c>
      <c r="M93" s="147">
        <f>K93+L93</f>
        <v>16542771.556107413</v>
      </c>
    </row>
    <row r="94" spans="1:13">
      <c r="B94" s="8"/>
      <c r="C94" s="79"/>
      <c r="D94" s="79"/>
      <c r="E94" s="79"/>
      <c r="F94" s="124"/>
      <c r="G94" s="121"/>
      <c r="H94" s="100"/>
      <c r="I94" s="121"/>
      <c r="J94" s="148"/>
      <c r="K94" s="124"/>
      <c r="L94" s="149"/>
      <c r="M94" s="149"/>
    </row>
    <row r="95" spans="1:13">
      <c r="B95" s="8"/>
      <c r="C95" s="79"/>
      <c r="D95" s="79"/>
      <c r="E95" s="79"/>
      <c r="F95" s="124"/>
      <c r="G95" s="121"/>
      <c r="H95" s="100"/>
      <c r="I95" s="121"/>
      <c r="J95" s="148"/>
      <c r="K95" s="124"/>
      <c r="L95" s="149"/>
      <c r="M95" s="149"/>
    </row>
    <row r="96" spans="1:13">
      <c r="B96" s="8"/>
      <c r="C96" s="79"/>
      <c r="D96" s="79"/>
      <c r="E96" s="79"/>
      <c r="F96" s="124"/>
      <c r="G96" s="121"/>
      <c r="H96" s="100"/>
      <c r="I96" s="121"/>
      <c r="J96" s="148"/>
      <c r="K96" s="124"/>
      <c r="L96" s="149"/>
      <c r="M96" s="149"/>
    </row>
    <row r="97" spans="2:13">
      <c r="B97" s="8"/>
      <c r="C97" s="79"/>
      <c r="D97" s="79"/>
      <c r="E97" s="79"/>
      <c r="F97" s="124"/>
      <c r="G97" s="121"/>
      <c r="H97" s="100"/>
      <c r="I97" s="121"/>
      <c r="J97" s="148"/>
      <c r="K97" s="124"/>
      <c r="L97" s="149"/>
      <c r="M97" s="149"/>
    </row>
    <row r="98" spans="2:13">
      <c r="B98" s="8"/>
      <c r="C98" s="79"/>
      <c r="D98" s="79"/>
      <c r="E98" s="79"/>
      <c r="F98" s="124"/>
      <c r="G98" s="121"/>
      <c r="H98" s="100"/>
      <c r="I98" s="121"/>
      <c r="J98" s="148"/>
      <c r="K98" s="124"/>
      <c r="L98" s="149"/>
      <c r="M98" s="149"/>
    </row>
    <row r="99" spans="2:13">
      <c r="B99" s="8"/>
      <c r="C99" s="79"/>
      <c r="D99" s="79"/>
      <c r="E99" s="79"/>
      <c r="F99" s="124"/>
      <c r="G99" s="121"/>
      <c r="H99" s="100"/>
      <c r="I99" s="121"/>
      <c r="J99" s="148"/>
      <c r="K99" s="124"/>
      <c r="L99" s="149"/>
      <c r="M99" s="149"/>
    </row>
    <row r="100" spans="2:13">
      <c r="B100" s="8"/>
      <c r="C100" s="79"/>
      <c r="D100" s="79"/>
      <c r="E100" s="79"/>
      <c r="F100" s="124"/>
      <c r="G100" s="121"/>
      <c r="H100" s="100"/>
      <c r="I100" s="121"/>
      <c r="J100" s="148"/>
      <c r="K100" s="124"/>
      <c r="L100" s="149"/>
      <c r="M100" s="149"/>
    </row>
    <row r="101" spans="2:13">
      <c r="B101" s="8"/>
      <c r="C101" s="79"/>
      <c r="D101" s="79"/>
      <c r="E101" s="79"/>
      <c r="F101" s="124"/>
      <c r="G101" s="121"/>
      <c r="H101" s="100"/>
      <c r="I101" s="121"/>
      <c r="J101" s="148"/>
      <c r="K101" s="124"/>
      <c r="L101" s="149"/>
      <c r="M101" s="149"/>
    </row>
    <row r="102" spans="2:13">
      <c r="B102" s="8"/>
      <c r="C102" s="79"/>
      <c r="D102" s="79"/>
      <c r="E102" s="79"/>
      <c r="F102" s="124"/>
      <c r="G102" s="121"/>
      <c r="H102" s="100"/>
      <c r="I102" s="121"/>
      <c r="J102" s="148"/>
      <c r="K102" s="124"/>
      <c r="L102" s="149"/>
      <c r="M102" s="149"/>
    </row>
    <row r="103" spans="2:13">
      <c r="B103" s="8"/>
      <c r="C103" s="79"/>
      <c r="D103" s="79"/>
      <c r="E103" s="79"/>
      <c r="F103" s="124"/>
      <c r="G103" s="121"/>
      <c r="H103" s="100"/>
      <c r="I103" s="121"/>
      <c r="J103" s="148"/>
      <c r="K103" s="124"/>
      <c r="L103" s="149"/>
      <c r="M103" s="149"/>
    </row>
    <row r="104" spans="2:13">
      <c r="B104" s="8"/>
      <c r="C104" s="79"/>
      <c r="D104" s="79"/>
      <c r="E104" s="79"/>
      <c r="F104" s="124"/>
      <c r="G104" s="121"/>
      <c r="H104" s="100"/>
      <c r="I104" s="121"/>
      <c r="J104" s="148"/>
      <c r="K104" s="124"/>
      <c r="L104" s="149"/>
      <c r="M104" s="149"/>
    </row>
    <row r="105" spans="2:13">
      <c r="B105" s="8"/>
      <c r="C105" s="79"/>
      <c r="D105" s="79"/>
      <c r="E105" s="79"/>
      <c r="F105" s="124"/>
      <c r="G105" s="121"/>
      <c r="H105" s="100"/>
      <c r="I105" s="121"/>
      <c r="J105" s="148"/>
      <c r="K105" s="124"/>
      <c r="L105" s="149"/>
      <c r="M105" s="149"/>
    </row>
    <row r="106" spans="2:13">
      <c r="B106" s="8"/>
      <c r="C106" s="79"/>
      <c r="D106" s="79"/>
      <c r="E106" s="79"/>
      <c r="F106" s="124"/>
      <c r="G106" s="121"/>
      <c r="H106" s="100"/>
      <c r="I106" s="121"/>
      <c r="J106" s="148"/>
      <c r="K106" s="124"/>
      <c r="L106" s="149"/>
      <c r="M106" s="149"/>
    </row>
    <row r="107" spans="2:13">
      <c r="B107" s="8"/>
      <c r="C107" s="79"/>
      <c r="D107" s="79"/>
      <c r="E107" s="79"/>
      <c r="F107" s="124"/>
      <c r="G107" s="121"/>
      <c r="H107" s="100"/>
      <c r="I107" s="121"/>
      <c r="J107" s="148"/>
      <c r="K107" s="124"/>
      <c r="L107" s="149"/>
      <c r="M107" s="149"/>
    </row>
    <row r="108" spans="2:13">
      <c r="B108" s="8"/>
      <c r="C108" s="79"/>
      <c r="D108" s="79"/>
      <c r="E108" s="79"/>
      <c r="F108" s="124"/>
      <c r="G108" s="121"/>
      <c r="H108" s="100"/>
      <c r="I108" s="121"/>
      <c r="J108" s="148"/>
      <c r="K108" s="124"/>
      <c r="L108" s="149"/>
      <c r="M108" s="149"/>
    </row>
    <row r="109" spans="2:13">
      <c r="B109" s="8"/>
      <c r="C109" s="79"/>
      <c r="D109" s="79"/>
      <c r="E109" s="79"/>
      <c r="F109" s="124"/>
      <c r="G109" s="121"/>
      <c r="H109" s="100"/>
      <c r="I109" s="121"/>
      <c r="J109" s="148"/>
      <c r="K109" s="124"/>
      <c r="L109" s="149"/>
      <c r="M109" s="149"/>
    </row>
    <row r="110" spans="2:13">
      <c r="B110" s="8"/>
      <c r="C110" s="79"/>
      <c r="D110" s="79"/>
      <c r="E110" s="79"/>
      <c r="F110" s="124"/>
      <c r="G110" s="121"/>
      <c r="H110" s="100"/>
      <c r="I110" s="121"/>
      <c r="J110" s="148"/>
      <c r="K110" s="124"/>
      <c r="L110" s="149"/>
      <c r="M110" s="149"/>
    </row>
    <row r="111" spans="2:13">
      <c r="B111" s="8"/>
      <c r="C111" s="79"/>
      <c r="D111" s="79"/>
      <c r="E111" s="79"/>
      <c r="F111" s="124"/>
      <c r="G111" s="121"/>
      <c r="H111" s="100"/>
      <c r="I111" s="121"/>
      <c r="J111" s="148"/>
      <c r="K111" s="124"/>
      <c r="L111" s="149"/>
      <c r="M111" s="149"/>
    </row>
    <row r="112" spans="2:13">
      <c r="B112" s="8"/>
      <c r="C112" s="79"/>
      <c r="D112" s="79"/>
      <c r="E112" s="79"/>
      <c r="F112" s="124"/>
      <c r="G112" s="121"/>
      <c r="H112" s="100"/>
      <c r="I112" s="121"/>
      <c r="J112" s="148"/>
      <c r="K112" s="124"/>
      <c r="L112" s="149"/>
      <c r="M112" s="149"/>
    </row>
    <row r="113" spans="2:15">
      <c r="B113" s="8"/>
      <c r="C113" s="79"/>
      <c r="D113" s="79"/>
      <c r="E113" s="79"/>
      <c r="F113" s="124"/>
      <c r="G113" s="121"/>
      <c r="H113" s="100"/>
      <c r="I113" s="121"/>
      <c r="J113" s="148"/>
      <c r="K113" s="124"/>
      <c r="L113" s="149"/>
      <c r="M113" s="149"/>
    </row>
    <row r="114" spans="2:15">
      <c r="B114" s="8"/>
      <c r="C114" s="79"/>
      <c r="D114" s="79"/>
      <c r="E114" s="79"/>
      <c r="F114" s="124"/>
      <c r="G114" s="121"/>
      <c r="H114" s="100"/>
      <c r="I114" s="121"/>
      <c r="J114" s="148"/>
      <c r="K114" s="124"/>
      <c r="L114" s="149"/>
      <c r="M114" s="149"/>
    </row>
    <row r="115" spans="2:15">
      <c r="B115" s="8"/>
      <c r="C115" s="79"/>
      <c r="D115" s="79"/>
      <c r="E115" s="79"/>
      <c r="F115" s="124"/>
      <c r="G115" s="121"/>
      <c r="H115" s="100"/>
      <c r="I115" s="121"/>
      <c r="J115" s="148"/>
      <c r="K115" s="124"/>
      <c r="L115" s="149"/>
      <c r="M115" s="149"/>
    </row>
    <row r="116" spans="2:15">
      <c r="B116" s="8"/>
      <c r="C116" s="79"/>
      <c r="D116" s="79"/>
      <c r="E116" s="79"/>
      <c r="F116" s="124"/>
      <c r="G116" s="121"/>
      <c r="H116" s="100"/>
      <c r="I116" s="121"/>
      <c r="J116" s="148"/>
      <c r="K116" s="124"/>
      <c r="L116" s="149"/>
      <c r="M116" s="149"/>
    </row>
    <row r="117" spans="2:15">
      <c r="B117" s="8"/>
      <c r="C117" s="79"/>
      <c r="D117" s="79"/>
      <c r="E117" s="79"/>
      <c r="F117" s="124"/>
      <c r="G117" s="121"/>
      <c r="H117" s="100"/>
      <c r="I117" s="121"/>
      <c r="J117" s="148"/>
      <c r="K117" s="124"/>
      <c r="L117" s="149"/>
      <c r="M117" s="149"/>
    </row>
    <row r="118" spans="2:15">
      <c r="B118" s="8"/>
      <c r="C118" s="79"/>
      <c r="D118" s="79"/>
      <c r="E118" s="79"/>
      <c r="F118" s="124"/>
      <c r="G118" s="121"/>
      <c r="H118" s="100"/>
      <c r="I118" s="121"/>
      <c r="J118" s="148"/>
      <c r="K118" s="124"/>
      <c r="L118" s="149"/>
      <c r="M118" s="149"/>
    </row>
    <row r="119" spans="2:15">
      <c r="C119" s="8" t="s">
        <v>91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</row>
    <row r="120" spans="2:15">
      <c r="D120" s="150"/>
      <c r="E120" s="150"/>
      <c r="F120" s="1005" t="s">
        <v>1</v>
      </c>
      <c r="G120" s="1005"/>
      <c r="H120" s="1005"/>
      <c r="I120" s="1005"/>
      <c r="J120" s="1005"/>
      <c r="K120" s="1005"/>
      <c r="L120" s="150"/>
      <c r="M120" s="150"/>
      <c r="N120" s="150"/>
      <c r="O120" s="150"/>
    </row>
    <row r="121" spans="2:15" ht="26.25" customHeight="1">
      <c r="C121" s="4" t="s">
        <v>2</v>
      </c>
      <c r="D121" s="1012" t="s">
        <v>3</v>
      </c>
      <c r="E121" s="1012"/>
      <c r="F121" s="1012"/>
      <c r="G121" s="1012"/>
      <c r="H121" s="1012"/>
      <c r="I121" s="1012"/>
      <c r="J121" s="1012"/>
      <c r="K121" s="3"/>
      <c r="L121" s="151" t="s">
        <v>4</v>
      </c>
      <c r="M121" s="6">
        <v>19236531.640000001</v>
      </c>
      <c r="O121" s="6"/>
    </row>
    <row r="122" spans="2:15">
      <c r="C122" s="4" t="s">
        <v>5</v>
      </c>
      <c r="D122" s="7">
        <v>5</v>
      </c>
      <c r="E122" s="3"/>
      <c r="F122" s="8"/>
      <c r="G122" s="8"/>
      <c r="H122" s="8"/>
      <c r="I122" s="3"/>
      <c r="J122" s="3"/>
      <c r="K122" s="3"/>
      <c r="L122" s="4" t="s">
        <v>6</v>
      </c>
      <c r="M122" s="6">
        <f>M121*0.2</f>
        <v>3847306.3280000002</v>
      </c>
      <c r="O122" s="152"/>
    </row>
    <row r="123" spans="2:15">
      <c r="C123" s="4" t="s">
        <v>7</v>
      </c>
      <c r="D123" s="7" t="s">
        <v>8</v>
      </c>
      <c r="E123" s="8"/>
      <c r="F123" s="8"/>
      <c r="G123" s="8"/>
      <c r="H123" s="11"/>
      <c r="I123" s="3"/>
      <c r="J123" s="3"/>
      <c r="K123" s="3"/>
      <c r="L123" s="4" t="s">
        <v>9</v>
      </c>
      <c r="M123" s="13" t="s">
        <v>10</v>
      </c>
      <c r="O123" s="153"/>
    </row>
    <row r="124" spans="2:15">
      <c r="C124" s="4" t="s">
        <v>11</v>
      </c>
      <c r="D124" s="8" t="s">
        <v>92</v>
      </c>
      <c r="E124" s="8"/>
      <c r="F124" s="8"/>
      <c r="G124" s="8"/>
      <c r="H124" s="8"/>
      <c r="I124" s="3"/>
      <c r="J124" s="3"/>
      <c r="K124" s="3"/>
      <c r="L124" s="3"/>
      <c r="M124" s="3"/>
      <c r="N124" s="3"/>
      <c r="O124" s="153"/>
    </row>
    <row r="125" spans="2:15">
      <c r="D125" s="4"/>
      <c r="E125" s="8"/>
      <c r="F125" s="8"/>
      <c r="G125" s="8"/>
      <c r="H125" s="8"/>
      <c r="I125" s="3"/>
      <c r="J125" s="3"/>
      <c r="K125" s="3"/>
      <c r="L125" s="3"/>
      <c r="M125" s="3"/>
      <c r="N125" s="154"/>
      <c r="O125" s="153"/>
    </row>
    <row r="126" spans="2:15">
      <c r="B126" s="155"/>
      <c r="C126" s="4"/>
      <c r="D126" s="8"/>
      <c r="G126" s="155"/>
      <c r="H126" s="156"/>
      <c r="I126" s="157"/>
      <c r="J126" s="157"/>
      <c r="K126" s="157"/>
    </row>
    <row r="127" spans="2:15">
      <c r="B127" s="8" t="s">
        <v>93</v>
      </c>
      <c r="C127" s="8"/>
      <c r="D127" s="8"/>
      <c r="E127" s="1003" t="s">
        <v>94</v>
      </c>
      <c r="F127" s="1003"/>
      <c r="H127" s="1013" t="s">
        <v>22</v>
      </c>
      <c r="I127" s="1013"/>
      <c r="J127" s="1003" t="s">
        <v>23</v>
      </c>
      <c r="K127" s="1003"/>
      <c r="L127" s="1003" t="s">
        <v>24</v>
      </c>
      <c r="M127" s="1003"/>
    </row>
    <row r="128" spans="2:15">
      <c r="B128" s="7"/>
      <c r="C128" s="4"/>
      <c r="D128" s="8"/>
      <c r="E128" s="1014">
        <f>F93</f>
        <v>19328814.453738935</v>
      </c>
      <c r="F128" s="1014"/>
      <c r="G128" s="160"/>
      <c r="H128" s="1014">
        <f>K93</f>
        <v>15491458.862307413</v>
      </c>
      <c r="I128" s="1014"/>
      <c r="J128" s="1015">
        <f>L93</f>
        <v>1051312.6938</v>
      </c>
      <c r="K128" s="1015"/>
      <c r="L128" s="1014">
        <f>H128+J128</f>
        <v>16542771.556107413</v>
      </c>
      <c r="M128" s="1014"/>
    </row>
    <row r="129" spans="1:13">
      <c r="B129" s="7" t="s">
        <v>95</v>
      </c>
      <c r="C129" s="4"/>
      <c r="D129" s="8"/>
      <c r="E129" s="162"/>
      <c r="F129" s="162"/>
      <c r="H129" s="1011"/>
      <c r="I129" s="1011"/>
      <c r="J129" s="164"/>
      <c r="K129" s="164"/>
      <c r="L129" s="164"/>
      <c r="M129" s="164"/>
    </row>
    <row r="130" spans="1:13">
      <c r="B130" s="7" t="s">
        <v>96</v>
      </c>
      <c r="C130" s="165"/>
      <c r="D130" s="166"/>
      <c r="E130" s="1010"/>
      <c r="F130" s="1010"/>
      <c r="H130" s="1011"/>
      <c r="I130" s="1011"/>
      <c r="J130" s="164"/>
      <c r="K130" s="164"/>
      <c r="L130" s="164"/>
      <c r="M130" s="164"/>
    </row>
    <row r="131" spans="1:13">
      <c r="H131" s="1010"/>
      <c r="I131" s="1010"/>
      <c r="J131" s="1003"/>
      <c r="K131" s="1003"/>
      <c r="L131" s="1010"/>
      <c r="M131" s="1010"/>
    </row>
    <row r="132" spans="1:13">
      <c r="B132" s="8" t="s">
        <v>97</v>
      </c>
      <c r="C132" s="165"/>
      <c r="D132" s="168">
        <v>0.1</v>
      </c>
      <c r="E132" s="1015">
        <f>D132*E128</f>
        <v>1932881.4453738937</v>
      </c>
      <c r="F132" s="1015"/>
      <c r="G132" s="169"/>
      <c r="H132" s="1015">
        <f>H128*D132</f>
        <v>1549145.8862307414</v>
      </c>
      <c r="I132" s="1015"/>
      <c r="J132" s="1014">
        <f>J128*D132</f>
        <v>105131.26938000001</v>
      </c>
      <c r="K132" s="1014"/>
      <c r="L132" s="1014">
        <f t="shared" ref="L132:L138" si="58">H132+J132</f>
        <v>1654277.1556107413</v>
      </c>
      <c r="M132" s="1014"/>
    </row>
    <row r="133" spans="1:13">
      <c r="A133" s="106"/>
      <c r="B133" s="8" t="s">
        <v>98</v>
      </c>
      <c r="C133" s="165"/>
      <c r="D133" s="170">
        <v>0.04</v>
      </c>
      <c r="E133" s="1015">
        <f>D133*E128</f>
        <v>773152.57814955746</v>
      </c>
      <c r="F133" s="1015"/>
      <c r="G133" s="169"/>
      <c r="H133" s="1015">
        <f>H128*D133</f>
        <v>619658.35449229646</v>
      </c>
      <c r="I133" s="1015"/>
      <c r="J133" s="1014">
        <f>J128*D133</f>
        <v>42052.507751999998</v>
      </c>
      <c r="K133" s="1014"/>
      <c r="L133" s="1014">
        <f t="shared" si="58"/>
        <v>661710.86224429647</v>
      </c>
      <c r="M133" s="1014"/>
    </row>
    <row r="134" spans="1:13">
      <c r="A134" s="122"/>
      <c r="B134" s="8" t="s">
        <v>99</v>
      </c>
      <c r="C134" s="165"/>
      <c r="D134" s="166">
        <v>0.03</v>
      </c>
      <c r="E134" s="1015">
        <f>D134*E128</f>
        <v>579864.43361216807</v>
      </c>
      <c r="F134" s="1015"/>
      <c r="G134" s="169"/>
      <c r="H134" s="1015">
        <f>H128*D134</f>
        <v>464743.76586922235</v>
      </c>
      <c r="I134" s="1015"/>
      <c r="J134" s="1014">
        <f>J128*D134</f>
        <v>31539.380814</v>
      </c>
      <c r="K134" s="1014"/>
      <c r="L134" s="1014">
        <f t="shared" si="58"/>
        <v>496283.14668322232</v>
      </c>
      <c r="M134" s="1014"/>
    </row>
    <row r="135" spans="1:13">
      <c r="A135" s="122"/>
      <c r="B135" s="8" t="s">
        <v>100</v>
      </c>
      <c r="C135" s="171"/>
      <c r="D135" s="172">
        <v>4.4999999999999998E-2</v>
      </c>
      <c r="E135" s="1015">
        <f>D135*E128</f>
        <v>869796.6504182521</v>
      </c>
      <c r="F135" s="1015"/>
      <c r="G135" s="169"/>
      <c r="H135" s="1015">
        <f>H128*D135</f>
        <v>697115.64880383352</v>
      </c>
      <c r="I135" s="1015"/>
      <c r="J135" s="1014">
        <f>J128*D135</f>
        <v>47309.071220999998</v>
      </c>
      <c r="K135" s="1014"/>
      <c r="L135" s="1014">
        <f t="shared" si="58"/>
        <v>744424.72002483357</v>
      </c>
      <c r="M135" s="1014"/>
    </row>
    <row r="136" spans="1:13">
      <c r="A136" s="122"/>
      <c r="B136" s="8" t="s">
        <v>101</v>
      </c>
      <c r="C136" s="165"/>
      <c r="D136" s="168">
        <v>0.01</v>
      </c>
      <c r="E136" s="1015">
        <f>D136*E128</f>
        <v>193288.14453738937</v>
      </c>
      <c r="F136" s="1015"/>
      <c r="G136" s="169"/>
      <c r="H136" s="1015">
        <f>H128*D136</f>
        <v>154914.58862307412</v>
      </c>
      <c r="I136" s="1015"/>
      <c r="J136" s="1014">
        <f>J128*D136</f>
        <v>10513.126937999999</v>
      </c>
      <c r="K136" s="1014"/>
      <c r="L136" s="1014">
        <f t="shared" si="58"/>
        <v>165427.71556107412</v>
      </c>
      <c r="M136" s="1014"/>
    </row>
    <row r="137" spans="1:13">
      <c r="A137" s="122"/>
      <c r="B137" s="8" t="s">
        <v>102</v>
      </c>
      <c r="C137" s="165"/>
      <c r="D137" s="166">
        <v>1E-3</v>
      </c>
      <c r="E137" s="1015">
        <f>D137*E128</f>
        <v>19328.814453738934</v>
      </c>
      <c r="F137" s="1015"/>
      <c r="G137" s="169"/>
      <c r="H137" s="1015">
        <f>H128*D137</f>
        <v>15491.458862307412</v>
      </c>
      <c r="I137" s="1015"/>
      <c r="J137" s="1014">
        <f>J128*D137</f>
        <v>1051.3126938</v>
      </c>
      <c r="K137" s="1014"/>
      <c r="L137" s="1014">
        <f t="shared" si="58"/>
        <v>16542.771556107411</v>
      </c>
      <c r="M137" s="1014"/>
    </row>
    <row r="138" spans="1:13">
      <c r="A138" s="122"/>
      <c r="B138" s="8" t="s">
        <v>103</v>
      </c>
      <c r="C138" s="165"/>
      <c r="D138" s="168">
        <v>0.18</v>
      </c>
      <c r="E138" s="1015">
        <f>D138*E132</f>
        <v>347918.66016730084</v>
      </c>
      <c r="F138" s="1015"/>
      <c r="G138" s="169"/>
      <c r="H138" s="1015">
        <f>D138*H132</f>
        <v>278846.25952153344</v>
      </c>
      <c r="I138" s="1015"/>
      <c r="J138" s="1014">
        <f>J132*D138</f>
        <v>18923.628488400002</v>
      </c>
      <c r="K138" s="1014"/>
      <c r="L138" s="1014">
        <f t="shared" si="58"/>
        <v>297769.88800993346</v>
      </c>
      <c r="M138" s="1014"/>
    </row>
    <row r="139" spans="1:13">
      <c r="A139" s="122"/>
      <c r="E139" s="169"/>
      <c r="F139" s="169"/>
      <c r="G139" s="169"/>
      <c r="H139" s="169"/>
      <c r="I139" s="169"/>
      <c r="J139" s="169"/>
      <c r="K139" s="169"/>
      <c r="L139" s="169"/>
      <c r="M139" s="169"/>
    </row>
    <row r="140" spans="1:13">
      <c r="A140" s="122"/>
      <c r="B140" s="173" t="s">
        <v>104</v>
      </c>
      <c r="E140" s="1018">
        <f>SUM(E132:F139)</f>
        <v>4716230.7267123014</v>
      </c>
      <c r="F140" s="1018"/>
      <c r="G140" s="169"/>
      <c r="H140" s="169"/>
      <c r="I140" s="169"/>
      <c r="J140" s="169"/>
      <c r="K140" s="169"/>
      <c r="L140" s="169"/>
      <c r="M140" s="169"/>
    </row>
    <row r="141" spans="1:13">
      <c r="A141" s="122"/>
      <c r="E141" s="169"/>
      <c r="F141" s="169"/>
      <c r="G141" s="169"/>
      <c r="H141" s="169"/>
      <c r="I141" s="169"/>
      <c r="J141" s="169"/>
      <c r="K141" s="169"/>
      <c r="L141" s="169"/>
      <c r="M141" s="169"/>
    </row>
    <row r="142" spans="1:13">
      <c r="A142" s="106"/>
      <c r="E142" s="169"/>
      <c r="F142" s="169"/>
      <c r="G142" s="169"/>
      <c r="H142" s="169"/>
      <c r="I142" s="169"/>
      <c r="J142" s="169"/>
      <c r="K142" s="169"/>
      <c r="L142" s="169"/>
      <c r="M142" s="169"/>
    </row>
    <row r="143" spans="1:13">
      <c r="A143" s="122"/>
      <c r="B143" s="121" t="s">
        <v>105</v>
      </c>
      <c r="C143" s="171"/>
      <c r="D143" s="1"/>
      <c r="E143" s="1018">
        <f>E140+E128</f>
        <v>24045045.180451237</v>
      </c>
      <c r="F143" s="1018"/>
      <c r="G143" s="174"/>
      <c r="H143" s="1015">
        <f>SUM(H132:I142)</f>
        <v>3779915.9624030092</v>
      </c>
      <c r="I143" s="1015"/>
      <c r="J143" s="1014">
        <f>SUM(J132:K138)</f>
        <v>256520.2972872</v>
      </c>
      <c r="K143" s="1014"/>
      <c r="L143" s="1015">
        <f>SUM(L132:M140)</f>
        <v>4036436.2596902084</v>
      </c>
      <c r="M143" s="1015"/>
    </row>
    <row r="144" spans="1:13">
      <c r="A144" s="122"/>
      <c r="B144" s="8"/>
      <c r="C144" s="175"/>
      <c r="D144" s="176"/>
      <c r="E144" s="1016"/>
      <c r="F144" s="1016"/>
      <c r="G144" s="174"/>
      <c r="H144" s="1017"/>
      <c r="I144" s="1017"/>
      <c r="J144" s="1017"/>
      <c r="K144" s="1017"/>
      <c r="L144" s="1016"/>
      <c r="M144" s="1016"/>
    </row>
    <row r="145" spans="1:14">
      <c r="A145" s="122"/>
      <c r="B145" s="179" t="s">
        <v>106</v>
      </c>
      <c r="C145" s="180"/>
      <c r="D145" s="154"/>
      <c r="E145" s="1015"/>
      <c r="F145" s="1015"/>
      <c r="G145" s="181"/>
      <c r="H145" s="1015">
        <f>H128+H143</f>
        <v>19271374.824710421</v>
      </c>
      <c r="I145" s="1015"/>
      <c r="J145" s="1014">
        <f>J143+J128</f>
        <v>1307832.9910872001</v>
      </c>
      <c r="K145" s="1014"/>
      <c r="L145" s="1014">
        <f>H145+J145</f>
        <v>20579207.81579762</v>
      </c>
      <c r="M145" s="1014"/>
    </row>
    <row r="146" spans="1:14">
      <c r="A146" s="122"/>
      <c r="B146" s="182" t="s">
        <v>107</v>
      </c>
      <c r="C146" s="171"/>
      <c r="E146" s="183"/>
      <c r="F146" s="183"/>
      <c r="G146" s="183"/>
      <c r="H146" s="183"/>
      <c r="I146" s="183"/>
      <c r="J146" s="183"/>
      <c r="K146" s="183"/>
      <c r="L146" s="1019"/>
      <c r="M146" s="1019"/>
    </row>
    <row r="147" spans="1:14">
      <c r="A147" s="122"/>
      <c r="B147" s="7" t="s">
        <v>108</v>
      </c>
      <c r="C147" s="185"/>
      <c r="D147" s="186">
        <v>0.2</v>
      </c>
      <c r="E147" s="184"/>
      <c r="F147" s="184"/>
      <c r="G147" s="184"/>
      <c r="H147" s="1020">
        <v>3847306.33</v>
      </c>
      <c r="I147" s="1020"/>
      <c r="J147" s="1014"/>
      <c r="K147" s="1014"/>
      <c r="L147" s="1014">
        <f>H147+J147</f>
        <v>3847306.33</v>
      </c>
      <c r="M147" s="1014"/>
      <c r="N147" s="6"/>
    </row>
    <row r="148" spans="1:14">
      <c r="A148" s="122"/>
      <c r="C148" s="187"/>
      <c r="E148" s="184"/>
      <c r="F148" s="184"/>
      <c r="G148" s="184"/>
      <c r="H148" s="188"/>
      <c r="I148" s="183"/>
      <c r="J148" s="184"/>
      <c r="K148" s="178"/>
      <c r="L148" s="178"/>
      <c r="M148" s="178"/>
      <c r="N148" s="6"/>
    </row>
    <row r="149" spans="1:14">
      <c r="A149" s="106"/>
      <c r="B149" s="7" t="s">
        <v>109</v>
      </c>
      <c r="C149" s="185"/>
      <c r="D149" s="154"/>
      <c r="E149" s="184"/>
      <c r="F149" s="184"/>
      <c r="G149" s="184"/>
      <c r="H149" s="1015">
        <f>H145-H147</f>
        <v>15424068.494710421</v>
      </c>
      <c r="I149" s="1015"/>
      <c r="J149" s="1023">
        <f>J145-J147</f>
        <v>1307832.9910872001</v>
      </c>
      <c r="K149" s="1023"/>
      <c r="L149" s="1014">
        <f>H149+J149</f>
        <v>16731901.485797621</v>
      </c>
      <c r="M149" s="1014"/>
    </row>
    <row r="150" spans="1:14">
      <c r="A150" s="106"/>
      <c r="B150" s="7"/>
      <c r="C150" s="185"/>
      <c r="D150" s="154"/>
      <c r="E150" s="163"/>
      <c r="F150" s="163"/>
      <c r="G150" s="163"/>
      <c r="H150" s="167"/>
      <c r="I150" s="167"/>
      <c r="L150" s="158"/>
      <c r="M150" s="158"/>
    </row>
    <row r="151" spans="1:14">
      <c r="A151" s="106"/>
      <c r="B151" s="7"/>
      <c r="C151" s="185"/>
      <c r="D151" s="154"/>
      <c r="E151" s="163"/>
      <c r="F151" s="163"/>
      <c r="G151" s="163"/>
      <c r="H151" s="167"/>
      <c r="I151" s="167"/>
      <c r="L151" s="158"/>
      <c r="M151" s="158"/>
    </row>
    <row r="152" spans="1:14">
      <c r="A152" s="122"/>
      <c r="B152" s="7"/>
      <c r="C152" s="185"/>
      <c r="D152" s="154"/>
      <c r="E152" s="163"/>
      <c r="F152" s="163"/>
      <c r="G152" s="163"/>
      <c r="H152" s="167"/>
      <c r="I152" s="167"/>
      <c r="J152" s="158"/>
      <c r="K152" s="158"/>
      <c r="L152" s="158"/>
      <c r="M152" s="158"/>
    </row>
    <row r="153" spans="1:14">
      <c r="A153" s="122"/>
      <c r="B153" s="7"/>
      <c r="C153" s="185"/>
      <c r="D153" s="154"/>
      <c r="E153" s="163"/>
      <c r="F153" s="163"/>
      <c r="G153" s="163"/>
      <c r="H153" s="189"/>
      <c r="I153" s="164"/>
      <c r="J153" s="163"/>
      <c r="K153" s="190"/>
      <c r="L153" s="190"/>
      <c r="M153" s="190"/>
    </row>
    <row r="154" spans="1:14">
      <c r="A154" s="122"/>
      <c r="B154" s="1" t="s">
        <v>110</v>
      </c>
      <c r="C154" s="1"/>
      <c r="D154" s="1"/>
      <c r="E154" s="8" t="s">
        <v>111</v>
      </c>
      <c r="F154" s="8"/>
      <c r="G154" s="1024" t="s">
        <v>11</v>
      </c>
      <c r="H154" s="1024"/>
      <c r="I154" s="1024"/>
      <c r="J154" s="1024"/>
      <c r="L154" s="1004" t="s">
        <v>112</v>
      </c>
      <c r="M154" s="1004"/>
    </row>
    <row r="155" spans="1:14">
      <c r="A155" s="106"/>
      <c r="B155" s="1"/>
      <c r="C155" s="1"/>
      <c r="D155" s="1004"/>
      <c r="E155" s="1004"/>
      <c r="F155" s="1004"/>
      <c r="G155" s="1004"/>
      <c r="H155" s="1004"/>
      <c r="I155" s="1004"/>
      <c r="J155" s="1004"/>
      <c r="K155" s="1004"/>
      <c r="L155" s="1004"/>
      <c r="M155" s="1004"/>
    </row>
    <row r="156" spans="1:14" ht="14.45" customHeight="1">
      <c r="A156" s="122"/>
      <c r="B156" s="1" t="s">
        <v>113</v>
      </c>
      <c r="C156" s="1"/>
      <c r="D156" s="1"/>
      <c r="E156" s="1" t="s">
        <v>114</v>
      </c>
      <c r="F156" s="1"/>
      <c r="G156" s="1021" t="s">
        <v>115</v>
      </c>
      <c r="H156" s="1021"/>
      <c r="I156" s="1021"/>
      <c r="J156" s="1021"/>
      <c r="K156" s="191"/>
      <c r="L156" s="1022" t="s">
        <v>116</v>
      </c>
      <c r="M156" s="1022"/>
    </row>
    <row r="157" spans="1:14">
      <c r="A157" s="122"/>
      <c r="B157" s="1" t="s">
        <v>117</v>
      </c>
      <c r="C157" s="1"/>
      <c r="D157" s="1"/>
      <c r="E157" s="1" t="s">
        <v>118</v>
      </c>
      <c r="F157" s="1"/>
      <c r="G157" s="191"/>
      <c r="H157" s="191"/>
      <c r="I157" s="191"/>
      <c r="J157" s="191"/>
      <c r="K157" s="191"/>
      <c r="L157" s="1004" t="s">
        <v>119</v>
      </c>
      <c r="M157" s="1004"/>
    </row>
    <row r="158" spans="1:14">
      <c r="A158" s="122"/>
      <c r="C158" s="187"/>
    </row>
  </sheetData>
  <mergeCells count="78">
    <mergeCell ref="G156:J156"/>
    <mergeCell ref="L156:M156"/>
    <mergeCell ref="L157:M157"/>
    <mergeCell ref="H149:I149"/>
    <mergeCell ref="J149:K149"/>
    <mergeCell ref="L149:M149"/>
    <mergeCell ref="G154:J154"/>
    <mergeCell ref="L154:M154"/>
    <mergeCell ref="D155:F155"/>
    <mergeCell ref="G155:J155"/>
    <mergeCell ref="K155:M155"/>
    <mergeCell ref="E145:F145"/>
    <mergeCell ref="H145:I145"/>
    <mergeCell ref="J145:K145"/>
    <mergeCell ref="L145:M145"/>
    <mergeCell ref="L146:M146"/>
    <mergeCell ref="H147:I147"/>
    <mergeCell ref="J147:K147"/>
    <mergeCell ref="L147:M147"/>
    <mergeCell ref="E140:F140"/>
    <mergeCell ref="E143:F143"/>
    <mergeCell ref="H143:I143"/>
    <mergeCell ref="J143:K143"/>
    <mergeCell ref="L143:M143"/>
    <mergeCell ref="E136:F136"/>
    <mergeCell ref="H136:I136"/>
    <mergeCell ref="J136:K136"/>
    <mergeCell ref="L136:M136"/>
    <mergeCell ref="E144:F144"/>
    <mergeCell ref="H144:I144"/>
    <mergeCell ref="J144:K144"/>
    <mergeCell ref="L144:M144"/>
    <mergeCell ref="E137:F137"/>
    <mergeCell ref="H137:I137"/>
    <mergeCell ref="J137:K137"/>
    <mergeCell ref="L137:M137"/>
    <mergeCell ref="E138:F138"/>
    <mergeCell ref="H138:I138"/>
    <mergeCell ref="J138:K138"/>
    <mergeCell ref="L138:M138"/>
    <mergeCell ref="E134:F134"/>
    <mergeCell ref="H134:I134"/>
    <mergeCell ref="J134:K134"/>
    <mergeCell ref="L134:M134"/>
    <mergeCell ref="E135:F135"/>
    <mergeCell ref="H135:I135"/>
    <mergeCell ref="J135:K135"/>
    <mergeCell ref="L135:M135"/>
    <mergeCell ref="E132:F132"/>
    <mergeCell ref="H132:I132"/>
    <mergeCell ref="J132:K132"/>
    <mergeCell ref="L132:M132"/>
    <mergeCell ref="E133:F133"/>
    <mergeCell ref="H133:I133"/>
    <mergeCell ref="J133:K133"/>
    <mergeCell ref="L133:M133"/>
    <mergeCell ref="L128:M128"/>
    <mergeCell ref="H129:I129"/>
    <mergeCell ref="H131:I131"/>
    <mergeCell ref="J131:K131"/>
    <mergeCell ref="L131:M131"/>
    <mergeCell ref="E130:F130"/>
    <mergeCell ref="H130:I130"/>
    <mergeCell ref="F120:K120"/>
    <mergeCell ref="D121:J121"/>
    <mergeCell ref="E127:F127"/>
    <mergeCell ref="H127:I127"/>
    <mergeCell ref="J127:K127"/>
    <mergeCell ref="E128:F128"/>
    <mergeCell ref="H128:I128"/>
    <mergeCell ref="J128:K128"/>
    <mergeCell ref="L127:M127"/>
    <mergeCell ref="A1:M1"/>
    <mergeCell ref="A2:M2"/>
    <mergeCell ref="C3:I3"/>
    <mergeCell ref="A7:F7"/>
    <mergeCell ref="G7:J7"/>
    <mergeCell ref="K7:M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F480F-C572-4959-9C1B-F8BBE0B2FA40}">
  <dimension ref="A2:M135"/>
  <sheetViews>
    <sheetView workbookViewId="0">
      <selection activeCell="G59" sqref="G59"/>
    </sheetView>
  </sheetViews>
  <sheetFormatPr baseColWidth="10" defaultRowHeight="15"/>
  <cols>
    <col min="2" max="2" width="35.42578125" bestFit="1" customWidth="1"/>
    <col min="4" max="4" width="11.140625" bestFit="1" customWidth="1"/>
    <col min="5" max="5" width="16.28515625" bestFit="1" customWidth="1"/>
    <col min="6" max="6" width="16.5703125" customWidth="1"/>
    <col min="8" max="8" width="10.140625" bestFit="1" customWidth="1"/>
    <col min="9" max="9" width="11.85546875" bestFit="1" customWidth="1"/>
    <col min="13" max="13" width="19.42578125" customWidth="1"/>
  </cols>
  <sheetData>
    <row r="2" spans="1:13">
      <c r="A2" s="1025" t="s">
        <v>0</v>
      </c>
      <c r="B2" s="1026"/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7"/>
    </row>
    <row r="3" spans="1:13">
      <c r="A3" s="1028" t="s">
        <v>1</v>
      </c>
      <c r="B3" s="1005"/>
      <c r="C3" s="1005"/>
      <c r="D3" s="1005"/>
      <c r="E3" s="1005"/>
      <c r="F3" s="1005"/>
      <c r="G3" s="1005"/>
      <c r="H3" s="1005"/>
      <c r="I3" s="1005"/>
      <c r="J3" s="1005"/>
      <c r="K3" s="1005"/>
      <c r="L3" s="1005"/>
      <c r="M3" s="1029"/>
    </row>
    <row r="4" spans="1:13">
      <c r="A4" s="193"/>
      <c r="C4" s="2"/>
      <c r="D4" s="2"/>
      <c r="E4" s="2"/>
      <c r="F4" s="2"/>
      <c r="G4" s="2"/>
      <c r="H4" s="2"/>
      <c r="I4" s="2"/>
      <c r="J4" s="2"/>
      <c r="K4" s="2"/>
      <c r="L4" s="2"/>
      <c r="M4" s="194" t="s">
        <v>120</v>
      </c>
    </row>
    <row r="5" spans="1:13">
      <c r="A5" s="195"/>
      <c r="B5" s="4" t="s">
        <v>2</v>
      </c>
      <c r="C5" s="1006" t="s">
        <v>121</v>
      </c>
      <c r="D5" s="1006"/>
      <c r="E5" s="1006"/>
      <c r="F5" s="1006"/>
      <c r="G5" s="1006"/>
      <c r="H5" s="1006"/>
      <c r="I5" s="1006"/>
      <c r="J5" s="3"/>
      <c r="K5" s="3"/>
      <c r="L5" s="4" t="s">
        <v>122</v>
      </c>
      <c r="M5" s="6">
        <v>21044668.350000001</v>
      </c>
    </row>
    <row r="6" spans="1:13">
      <c r="A6" s="195"/>
      <c r="B6" s="4" t="s">
        <v>5</v>
      </c>
      <c r="C6" s="7">
        <v>2</v>
      </c>
      <c r="D6" s="3"/>
      <c r="E6" s="8"/>
      <c r="F6" s="8"/>
      <c r="G6" s="8"/>
      <c r="H6" s="3"/>
      <c r="I6" s="3"/>
      <c r="J6" s="3"/>
      <c r="K6" s="3"/>
      <c r="L6" s="4" t="s">
        <v>6</v>
      </c>
      <c r="M6" s="196">
        <v>2645359.2999999998</v>
      </c>
    </row>
    <row r="7" spans="1:13">
      <c r="A7" s="195"/>
      <c r="B7" s="4" t="s">
        <v>7</v>
      </c>
      <c r="C7" s="8" t="s">
        <v>123</v>
      </c>
      <c r="D7" s="8"/>
      <c r="E7" s="8"/>
      <c r="F7" s="8" t="s">
        <v>124</v>
      </c>
      <c r="G7" s="11"/>
      <c r="H7" s="3"/>
      <c r="I7" s="3"/>
      <c r="J7" s="3"/>
      <c r="K7" s="3"/>
      <c r="L7" s="4" t="s">
        <v>9</v>
      </c>
      <c r="M7" s="197" t="s">
        <v>125</v>
      </c>
    </row>
    <row r="8" spans="1:13">
      <c r="A8" s="195"/>
      <c r="B8" s="4" t="s">
        <v>11</v>
      </c>
      <c r="C8" s="8" t="s">
        <v>126</v>
      </c>
      <c r="D8" s="8"/>
      <c r="E8" s="8"/>
      <c r="F8" s="8"/>
      <c r="H8" s="3"/>
      <c r="I8" s="3"/>
      <c r="J8" s="3"/>
      <c r="K8" s="3"/>
      <c r="L8" s="3"/>
      <c r="M8" s="198"/>
    </row>
    <row r="9" spans="1:13">
      <c r="A9" s="1007" t="s">
        <v>13</v>
      </c>
      <c r="B9" s="1007"/>
      <c r="C9" s="1007"/>
      <c r="D9" s="1007"/>
      <c r="E9" s="1007"/>
      <c r="F9" s="1007"/>
      <c r="G9" s="1030" t="s">
        <v>14</v>
      </c>
      <c r="H9" s="1030"/>
      <c r="I9" s="1030"/>
      <c r="J9" s="1030"/>
      <c r="K9" s="1031" t="s">
        <v>15</v>
      </c>
      <c r="L9" s="1031"/>
      <c r="M9" s="1031"/>
    </row>
    <row r="10" spans="1:13">
      <c r="A10" s="14" t="s">
        <v>16</v>
      </c>
      <c r="B10" s="15" t="s">
        <v>17</v>
      </c>
      <c r="C10" s="15" t="s">
        <v>18</v>
      </c>
      <c r="D10" s="15" t="s">
        <v>19</v>
      </c>
      <c r="E10" s="16" t="s">
        <v>20</v>
      </c>
      <c r="F10" s="16" t="s">
        <v>21</v>
      </c>
      <c r="G10" s="199" t="s">
        <v>22</v>
      </c>
      <c r="H10" s="199" t="s">
        <v>23</v>
      </c>
      <c r="I10" s="200" t="s">
        <v>24</v>
      </c>
      <c r="J10" s="201" t="s">
        <v>25</v>
      </c>
      <c r="K10" s="15" t="s">
        <v>22</v>
      </c>
      <c r="L10" s="16" t="s">
        <v>23</v>
      </c>
      <c r="M10" s="16" t="s">
        <v>24</v>
      </c>
    </row>
    <row r="11" spans="1:13" ht="15.75">
      <c r="A11" s="202">
        <v>1</v>
      </c>
      <c r="B11" s="203" t="s">
        <v>28</v>
      </c>
      <c r="C11" s="204"/>
      <c r="D11" s="204"/>
      <c r="E11" s="205"/>
      <c r="F11" s="205"/>
      <c r="G11" s="199"/>
      <c r="H11" s="199"/>
      <c r="I11" s="200"/>
      <c r="J11" s="201"/>
      <c r="K11" s="204"/>
      <c r="L11" s="205"/>
      <c r="M11" s="205"/>
    </row>
    <row r="12" spans="1:13" ht="15.75">
      <c r="A12" s="206">
        <f>A11+0.01</f>
        <v>1.01</v>
      </c>
      <c r="B12" s="207" t="s">
        <v>127</v>
      </c>
      <c r="C12" s="208" t="s">
        <v>128</v>
      </c>
      <c r="D12" s="209">
        <v>2</v>
      </c>
      <c r="E12" s="210">
        <v>30000</v>
      </c>
      <c r="F12" s="211">
        <f>D12*E12</f>
        <v>60000</v>
      </c>
      <c r="G12" s="212">
        <v>2</v>
      </c>
      <c r="H12" s="212"/>
      <c r="I12" s="213">
        <f t="shared" ref="I12:I13" si="0">G12+H12</f>
        <v>2</v>
      </c>
      <c r="J12" s="214">
        <f t="shared" ref="J12:J13" si="1">I12/D12</f>
        <v>1</v>
      </c>
      <c r="K12" s="215">
        <f>G12*E12</f>
        <v>60000</v>
      </c>
      <c r="L12" s="205"/>
      <c r="M12" s="216">
        <f t="shared" ref="M12:M16" si="2">K12+L12</f>
        <v>60000</v>
      </c>
    </row>
    <row r="13" spans="1:13" ht="15.75">
      <c r="A13" s="206">
        <f t="shared" ref="A13:A16" si="3">A12+0.01</f>
        <v>1.02</v>
      </c>
      <c r="B13" s="207" t="s">
        <v>129</v>
      </c>
      <c r="C13" s="208" t="s">
        <v>130</v>
      </c>
      <c r="D13" s="209">
        <v>1156</v>
      </c>
      <c r="E13" s="210">
        <v>38.92</v>
      </c>
      <c r="F13" s="211">
        <f t="shared" ref="F13:F15" si="4">D13*E13</f>
        <v>44991.520000000004</v>
      </c>
      <c r="G13" s="212">
        <v>850</v>
      </c>
      <c r="H13" s="212">
        <f>D13-G13</f>
        <v>306</v>
      </c>
      <c r="I13" s="213">
        <f t="shared" si="0"/>
        <v>1156</v>
      </c>
      <c r="J13" s="214">
        <f t="shared" si="1"/>
        <v>1</v>
      </c>
      <c r="K13" s="215">
        <f>G13*E13</f>
        <v>33082</v>
      </c>
      <c r="L13" s="217">
        <f>H13*E13</f>
        <v>11909.52</v>
      </c>
      <c r="M13" s="216">
        <f t="shared" si="2"/>
        <v>44991.520000000004</v>
      </c>
    </row>
    <row r="14" spans="1:13" ht="15.75">
      <c r="A14" s="206">
        <f t="shared" si="3"/>
        <v>1.03</v>
      </c>
      <c r="B14" s="207" t="s">
        <v>131</v>
      </c>
      <c r="C14" s="208" t="s">
        <v>130</v>
      </c>
      <c r="D14" s="209">
        <v>750</v>
      </c>
      <c r="E14" s="210">
        <v>120</v>
      </c>
      <c r="F14" s="211">
        <f t="shared" si="4"/>
        <v>90000</v>
      </c>
      <c r="G14" s="212"/>
      <c r="H14" s="212">
        <v>750</v>
      </c>
      <c r="I14" s="213">
        <f>G14+H14</f>
        <v>750</v>
      </c>
      <c r="J14" s="214">
        <f>I14/D14</f>
        <v>1</v>
      </c>
      <c r="K14" s="218"/>
      <c r="L14" s="217">
        <f>H14*E14</f>
        <v>90000</v>
      </c>
      <c r="M14" s="216">
        <f t="shared" si="2"/>
        <v>90000</v>
      </c>
    </row>
    <row r="15" spans="1:13" ht="15.75">
      <c r="A15" s="206">
        <f t="shared" si="3"/>
        <v>1.04</v>
      </c>
      <c r="B15" s="207" t="s">
        <v>132</v>
      </c>
      <c r="C15" s="208" t="s">
        <v>130</v>
      </c>
      <c r="D15" s="209">
        <v>1156</v>
      </c>
      <c r="E15" s="210">
        <v>76.069999999999993</v>
      </c>
      <c r="F15" s="211">
        <f t="shared" si="4"/>
        <v>87936.92</v>
      </c>
      <c r="G15" s="219">
        <v>558.69590000000005</v>
      </c>
      <c r="H15" s="219">
        <f>D15-G15</f>
        <v>597.30409999999995</v>
      </c>
      <c r="I15" s="220">
        <f>G15+H15</f>
        <v>1156</v>
      </c>
      <c r="J15" s="214">
        <f>I15/D15</f>
        <v>1</v>
      </c>
      <c r="K15" s="215">
        <f>G15*E15</f>
        <v>42499.997112999998</v>
      </c>
      <c r="L15" s="217">
        <f>H15*E15</f>
        <v>45436.922886999993</v>
      </c>
      <c r="M15" s="216">
        <f t="shared" si="2"/>
        <v>87936.919999999984</v>
      </c>
    </row>
    <row r="16" spans="1:13" ht="15.75">
      <c r="A16" s="206">
        <f t="shared" si="3"/>
        <v>1.05</v>
      </c>
      <c r="B16" s="221" t="s">
        <v>133</v>
      </c>
      <c r="C16" s="222"/>
      <c r="D16" s="223"/>
      <c r="E16" s="224"/>
      <c r="F16" s="224">
        <f>SUM(F12:F15)</f>
        <v>282928.44</v>
      </c>
      <c r="G16" s="212"/>
      <c r="H16" s="212"/>
      <c r="I16" s="225"/>
      <c r="J16" s="226"/>
      <c r="K16" s="227">
        <f>SUM(K12:K15)</f>
        <v>135581.99711299999</v>
      </c>
      <c r="L16" s="205">
        <f>SUM(L12:L15)</f>
        <v>147346.44288699998</v>
      </c>
      <c r="M16" s="216">
        <f t="shared" si="2"/>
        <v>282928.43999999994</v>
      </c>
    </row>
    <row r="17" spans="1:13" ht="15.75">
      <c r="A17" s="228"/>
      <c r="B17" s="204"/>
      <c r="C17" s="222"/>
      <c r="D17" s="223"/>
      <c r="E17" s="224"/>
      <c r="F17" s="224"/>
      <c r="G17" s="212"/>
      <c r="H17" s="212"/>
      <c r="I17" s="225"/>
      <c r="J17" s="226"/>
      <c r="K17" s="218"/>
      <c r="L17" s="205"/>
      <c r="M17" s="205"/>
    </row>
    <row r="18" spans="1:13" ht="15.75">
      <c r="A18" s="202">
        <v>2</v>
      </c>
      <c r="B18" s="229" t="s">
        <v>134</v>
      </c>
      <c r="C18" s="222"/>
      <c r="D18" s="223"/>
      <c r="E18" s="224"/>
      <c r="F18" s="224"/>
      <c r="G18" s="212"/>
      <c r="H18" s="212"/>
      <c r="I18" s="225"/>
      <c r="J18" s="226"/>
      <c r="K18" s="218"/>
      <c r="L18" s="205"/>
      <c r="M18" s="205"/>
    </row>
    <row r="19" spans="1:13" ht="15.75">
      <c r="A19" s="206">
        <f>A18+0.01</f>
        <v>2.0099999999999998</v>
      </c>
      <c r="B19" s="207" t="s">
        <v>135</v>
      </c>
      <c r="C19" s="208" t="s">
        <v>128</v>
      </c>
      <c r="D19" s="209">
        <v>3</v>
      </c>
      <c r="E19" s="210">
        <v>739860</v>
      </c>
      <c r="F19" s="211">
        <f t="shared" ref="F19" si="5">D19*E19</f>
        <v>2219580</v>
      </c>
      <c r="G19" s="212"/>
      <c r="H19" s="212">
        <v>2</v>
      </c>
      <c r="I19" s="220">
        <f>G19+H19</f>
        <v>2</v>
      </c>
      <c r="J19" s="214">
        <f>I19/D19</f>
        <v>0.66666666666666663</v>
      </c>
      <c r="K19" s="218"/>
      <c r="L19" s="217">
        <f>H19*E19</f>
        <v>1479720</v>
      </c>
      <c r="M19" s="216">
        <f t="shared" ref="M19:M20" si="6">K19+L19</f>
        <v>1479720</v>
      </c>
    </row>
    <row r="20" spans="1:13" ht="15.75">
      <c r="A20" s="206">
        <f>A19+0.01</f>
        <v>2.0199999999999996</v>
      </c>
      <c r="B20" s="221" t="s">
        <v>133</v>
      </c>
      <c r="C20" s="208"/>
      <c r="D20" s="209"/>
      <c r="E20" s="210"/>
      <c r="F20" s="230">
        <f>SUM(F19)</f>
        <v>2219580</v>
      </c>
      <c r="G20" s="212"/>
      <c r="H20" s="212"/>
      <c r="I20" s="225"/>
      <c r="J20" s="226"/>
      <c r="K20" s="218"/>
      <c r="L20" s="205">
        <f>SUM(L19)</f>
        <v>1479720</v>
      </c>
      <c r="M20" s="231">
        <f t="shared" si="6"/>
        <v>1479720</v>
      </c>
    </row>
    <row r="21" spans="1:13" ht="15.75">
      <c r="A21" s="206"/>
      <c r="B21" s="207"/>
      <c r="C21" s="208"/>
      <c r="D21" s="209"/>
      <c r="E21" s="210"/>
      <c r="F21" s="211"/>
      <c r="G21" s="212"/>
      <c r="H21" s="212"/>
      <c r="I21" s="225"/>
      <c r="J21" s="226"/>
      <c r="K21" s="218"/>
      <c r="L21" s="205"/>
      <c r="M21" s="205"/>
    </row>
    <row r="22" spans="1:13" ht="15.75">
      <c r="A22" s="202">
        <v>3</v>
      </c>
      <c r="B22" s="229" t="s">
        <v>136</v>
      </c>
      <c r="C22" s="208"/>
      <c r="D22" s="209"/>
      <c r="E22" s="210"/>
      <c r="F22" s="211"/>
      <c r="G22" s="212"/>
      <c r="H22" s="212"/>
      <c r="I22" s="225"/>
      <c r="J22" s="226"/>
      <c r="K22" s="218"/>
      <c r="L22" s="205"/>
      <c r="M22" s="205"/>
    </row>
    <row r="23" spans="1:13" ht="15.75">
      <c r="A23" s="206">
        <f>A22+0.01</f>
        <v>3.01</v>
      </c>
      <c r="B23" s="207" t="s">
        <v>137</v>
      </c>
      <c r="C23" s="208" t="s">
        <v>130</v>
      </c>
      <c r="D23" s="209">
        <v>1108.8</v>
      </c>
      <c r="E23" s="232">
        <v>9493.9639999999999</v>
      </c>
      <c r="F23" s="211">
        <f t="shared" ref="F23" si="7">D23*E23</f>
        <v>10526907.283199999</v>
      </c>
      <c r="G23" s="233">
        <v>755.56637899999998</v>
      </c>
      <c r="H23" s="212">
        <v>24.9</v>
      </c>
      <c r="I23" s="220">
        <f>G23+H23</f>
        <v>780.46637899999996</v>
      </c>
      <c r="J23" s="214">
        <f>I23/D23</f>
        <v>0.70388381944444445</v>
      </c>
      <c r="K23" s="215">
        <f>G23*E23</f>
        <v>7173320.0018363558</v>
      </c>
      <c r="L23" s="217">
        <f>H23*E23</f>
        <v>236399.70359999998</v>
      </c>
      <c r="M23" s="216">
        <f t="shared" ref="M23:M24" si="8">K23+L23</f>
        <v>7409719.7054363554</v>
      </c>
    </row>
    <row r="24" spans="1:13" ht="15.75">
      <c r="A24" s="206"/>
      <c r="B24" s="221" t="s">
        <v>133</v>
      </c>
      <c r="C24" s="208"/>
      <c r="D24" s="209"/>
      <c r="E24" s="210"/>
      <c r="F24" s="230">
        <f>SUM(F23)</f>
        <v>10526907.283199999</v>
      </c>
      <c r="G24" s="212"/>
      <c r="H24" s="212"/>
      <c r="I24" s="225"/>
      <c r="J24" s="226"/>
      <c r="K24" s="227">
        <f>SUM(K23)</f>
        <v>7173320.0018363558</v>
      </c>
      <c r="L24" s="205">
        <f>SUM(L23)</f>
        <v>236399.70359999998</v>
      </c>
      <c r="M24" s="231">
        <f t="shared" si="8"/>
        <v>7409719.7054363554</v>
      </c>
    </row>
    <row r="25" spans="1:13" ht="15.75">
      <c r="A25" s="206"/>
      <c r="B25" s="207"/>
      <c r="C25" s="208"/>
      <c r="D25" s="209"/>
      <c r="E25" s="210"/>
      <c r="F25" s="211"/>
      <c r="G25" s="212"/>
      <c r="H25" s="212"/>
      <c r="I25" s="225"/>
      <c r="J25" s="226"/>
      <c r="K25" s="218"/>
      <c r="L25" s="205"/>
      <c r="M25" s="205"/>
    </row>
    <row r="26" spans="1:13" ht="15.75">
      <c r="A26" s="202">
        <v>4</v>
      </c>
      <c r="B26" s="229" t="s">
        <v>138</v>
      </c>
      <c r="C26" s="222"/>
      <c r="D26" s="222"/>
      <c r="E26" s="224"/>
      <c r="F26" s="224"/>
      <c r="G26" s="212"/>
      <c r="H26" s="212"/>
      <c r="I26" s="225"/>
      <c r="J26" s="226"/>
      <c r="K26" s="218"/>
      <c r="L26" s="205"/>
      <c r="M26" s="205"/>
    </row>
    <row r="27" spans="1:13" ht="15.75">
      <c r="A27" s="206">
        <f>A26+0.01</f>
        <v>4.01</v>
      </c>
      <c r="B27" s="207" t="s">
        <v>139</v>
      </c>
      <c r="C27" s="208" t="s">
        <v>130</v>
      </c>
      <c r="D27" s="234">
        <v>1056</v>
      </c>
      <c r="E27" s="210">
        <v>164.19</v>
      </c>
      <c r="F27" s="211">
        <f t="shared" ref="F27" si="9">D27*E27</f>
        <v>173384.63999999998</v>
      </c>
      <c r="G27" s="233">
        <v>359.17534599999999</v>
      </c>
      <c r="H27" s="212">
        <v>21.79</v>
      </c>
      <c r="I27" s="220">
        <f>G27+H27</f>
        <v>380.96534600000001</v>
      </c>
      <c r="J27" s="214">
        <f>I27/D27</f>
        <v>0.36076263825757576</v>
      </c>
      <c r="K27" s="215">
        <f>G27*E27</f>
        <v>58973.000059739999</v>
      </c>
      <c r="L27" s="217">
        <f>H27*E27</f>
        <v>3577.7001</v>
      </c>
      <c r="M27" s="216">
        <f t="shared" ref="M27:M28" si="10">K27+L27</f>
        <v>62550.700159740001</v>
      </c>
    </row>
    <row r="28" spans="1:13" ht="15.75">
      <c r="A28" s="206">
        <f>A27+0.01</f>
        <v>4.0199999999999996</v>
      </c>
      <c r="B28" s="221" t="s">
        <v>133</v>
      </c>
      <c r="C28" s="204"/>
      <c r="D28" s="204"/>
      <c r="E28" s="205"/>
      <c r="F28" s="224">
        <f>SUM(F27)</f>
        <v>173384.63999999998</v>
      </c>
      <c r="G28" s="212"/>
      <c r="H28" s="212"/>
      <c r="I28" s="225"/>
      <c r="J28" s="226"/>
      <c r="K28" s="227">
        <f>SUM(K27)</f>
        <v>58973.000059739999</v>
      </c>
      <c r="L28" s="205">
        <f>SUM(L27)</f>
        <v>3577.7001</v>
      </c>
      <c r="M28" s="231">
        <f t="shared" si="10"/>
        <v>62550.700159740001</v>
      </c>
    </row>
    <row r="29" spans="1:13" ht="15.75">
      <c r="A29" s="206"/>
      <c r="B29" s="235"/>
      <c r="C29" s="204"/>
      <c r="D29" s="204"/>
      <c r="E29" s="205"/>
      <c r="F29" s="224"/>
      <c r="G29" s="212"/>
      <c r="H29" s="212"/>
      <c r="I29" s="225"/>
      <c r="J29" s="226"/>
      <c r="K29" s="218"/>
      <c r="L29" s="205"/>
      <c r="M29" s="205"/>
    </row>
    <row r="30" spans="1:13" ht="15.75">
      <c r="A30" s="202">
        <v>5</v>
      </c>
      <c r="B30" s="236" t="s">
        <v>140</v>
      </c>
      <c r="C30" s="204"/>
      <c r="D30" s="204"/>
      <c r="E30" s="205"/>
      <c r="F30" s="224"/>
      <c r="G30" s="212"/>
      <c r="H30" s="212"/>
      <c r="I30" s="225"/>
      <c r="J30" s="226"/>
      <c r="K30" s="218"/>
      <c r="L30" s="205"/>
      <c r="M30" s="205"/>
    </row>
    <row r="31" spans="1:13" ht="15.75">
      <c r="A31" s="206">
        <f>A30+0.01</f>
        <v>5.01</v>
      </c>
      <c r="B31" s="237" t="s">
        <v>141</v>
      </c>
      <c r="C31" s="234" t="s">
        <v>38</v>
      </c>
      <c r="D31" s="238">
        <v>1077.1199999999999</v>
      </c>
      <c r="E31" s="210">
        <v>212.89</v>
      </c>
      <c r="F31" s="211">
        <f t="shared" ref="F31:F34" si="11">D31*E31</f>
        <v>229308.07679999995</v>
      </c>
      <c r="G31" s="239">
        <v>711.84235999999999</v>
      </c>
      <c r="H31" s="212"/>
      <c r="I31" s="225"/>
      <c r="J31" s="226"/>
      <c r="K31" s="215">
        <f>G31*E31</f>
        <v>151544.12002039998</v>
      </c>
      <c r="L31" s="205"/>
      <c r="M31" s="205"/>
    </row>
    <row r="32" spans="1:13" ht="15.75">
      <c r="A32" s="206">
        <f t="shared" ref="A32:A34" si="12">A31+0.01</f>
        <v>5.0199999999999996</v>
      </c>
      <c r="B32" s="237" t="s">
        <v>142</v>
      </c>
      <c r="C32" s="234" t="s">
        <v>38</v>
      </c>
      <c r="D32" s="238">
        <v>85.679999999999993</v>
      </c>
      <c r="E32" s="210">
        <v>2281.48</v>
      </c>
      <c r="F32" s="211">
        <f t="shared" si="11"/>
        <v>195477.2064</v>
      </c>
      <c r="G32" s="212">
        <v>43.217560499999998</v>
      </c>
      <c r="H32" s="212"/>
      <c r="I32" s="225"/>
      <c r="J32" s="226"/>
      <c r="K32" s="215">
        <f>G32*E32</f>
        <v>98599.99992953999</v>
      </c>
      <c r="L32" s="205"/>
      <c r="M32" s="205"/>
    </row>
    <row r="33" spans="1:13" ht="15.75">
      <c r="A33" s="206">
        <f t="shared" si="12"/>
        <v>5.0299999999999994</v>
      </c>
      <c r="B33" s="207" t="s">
        <v>143</v>
      </c>
      <c r="C33" s="234" t="s">
        <v>38</v>
      </c>
      <c r="D33" s="238">
        <v>175.82759999999993</v>
      </c>
      <c r="E33" s="210">
        <v>268.02</v>
      </c>
      <c r="F33" s="211">
        <f t="shared" si="11"/>
        <v>47125.313351999976</v>
      </c>
      <c r="G33" s="233">
        <v>110.477912</v>
      </c>
      <c r="H33" s="212"/>
      <c r="I33" s="225"/>
      <c r="J33" s="226"/>
      <c r="K33" s="215">
        <f>G33*E33</f>
        <v>29610.28997424</v>
      </c>
      <c r="L33" s="205"/>
      <c r="M33" s="205"/>
    </row>
    <row r="34" spans="1:13" ht="15.75">
      <c r="A34" s="206">
        <f t="shared" si="12"/>
        <v>5.0399999999999991</v>
      </c>
      <c r="B34" s="207" t="s">
        <v>144</v>
      </c>
      <c r="C34" s="234" t="s">
        <v>38</v>
      </c>
      <c r="D34" s="238">
        <v>941.86799999999994</v>
      </c>
      <c r="E34" s="210">
        <v>183.19</v>
      </c>
      <c r="F34" s="211">
        <f t="shared" si="11"/>
        <v>172540.79891999997</v>
      </c>
      <c r="G34" s="212">
        <v>575.73420999999996</v>
      </c>
      <c r="H34" s="212"/>
      <c r="I34" s="225"/>
      <c r="J34" s="226"/>
      <c r="K34" s="215">
        <f>G34*E34</f>
        <v>105468.74992989999</v>
      </c>
      <c r="L34" s="205"/>
      <c r="M34" s="205"/>
    </row>
    <row r="35" spans="1:13" ht="15.75">
      <c r="A35" s="206">
        <f>A34+0.01</f>
        <v>5.0499999999999989</v>
      </c>
      <c r="B35" s="221" t="s">
        <v>133</v>
      </c>
      <c r="C35" s="204"/>
      <c r="D35" s="204"/>
      <c r="E35" s="205"/>
      <c r="F35" s="224">
        <f>SUM(F31:F34)</f>
        <v>644451.39547199989</v>
      </c>
      <c r="G35" s="199"/>
      <c r="H35" s="199"/>
      <c r="I35" s="200"/>
      <c r="J35" s="201"/>
      <c r="K35" s="227">
        <f>SUM(K31:K34)</f>
        <v>385223.15985407995</v>
      </c>
      <c r="L35" s="205"/>
      <c r="M35" s="205"/>
    </row>
    <row r="36" spans="1:13" ht="15.75">
      <c r="A36" s="240"/>
      <c r="B36" s="235"/>
      <c r="C36" s="204"/>
      <c r="D36" s="204"/>
      <c r="E36" s="205"/>
      <c r="F36" s="224"/>
      <c r="G36" s="199"/>
      <c r="H36" s="241"/>
      <c r="I36" s="200"/>
      <c r="J36" s="201"/>
      <c r="K36" s="204"/>
      <c r="L36" s="205"/>
      <c r="M36" s="205"/>
    </row>
    <row r="37" spans="1:13" ht="15.75">
      <c r="A37" s="242">
        <v>6</v>
      </c>
      <c r="B37" s="243" t="s">
        <v>145</v>
      </c>
      <c r="C37" s="222"/>
      <c r="D37" s="222"/>
      <c r="E37" s="224"/>
      <c r="F37" s="224"/>
      <c r="G37" s="199"/>
      <c r="H37" s="199"/>
      <c r="I37" s="200"/>
      <c r="J37" s="201"/>
      <c r="K37" s="204"/>
      <c r="L37" s="205"/>
      <c r="M37" s="205"/>
    </row>
    <row r="38" spans="1:13" ht="15.75">
      <c r="A38" s="240">
        <f>A37+0.01</f>
        <v>6.01</v>
      </c>
      <c r="B38" s="244" t="s">
        <v>146</v>
      </c>
      <c r="C38" s="245" t="s">
        <v>128</v>
      </c>
      <c r="D38" s="246">
        <v>2</v>
      </c>
      <c r="E38" s="247">
        <v>33500</v>
      </c>
      <c r="F38" s="211">
        <f t="shared" ref="F38:F42" si="13">D38*E38</f>
        <v>67000</v>
      </c>
      <c r="G38" s="199"/>
      <c r="H38" s="199"/>
      <c r="I38" s="200"/>
      <c r="J38" s="201"/>
      <c r="K38" s="204"/>
      <c r="L38" s="205"/>
      <c r="M38" s="205"/>
    </row>
    <row r="39" spans="1:13" ht="15.75">
      <c r="A39" s="240">
        <f t="shared" ref="A39:A43" si="14">A38+0.01</f>
        <v>6.02</v>
      </c>
      <c r="B39" s="244" t="s">
        <v>147</v>
      </c>
      <c r="C39" s="248" t="s">
        <v>128</v>
      </c>
      <c r="D39" s="246">
        <v>1</v>
      </c>
      <c r="E39" s="247">
        <v>17000</v>
      </c>
      <c r="F39" s="211">
        <f t="shared" si="13"/>
        <v>17000</v>
      </c>
      <c r="G39" s="199"/>
      <c r="H39" s="199"/>
      <c r="I39" s="200"/>
      <c r="J39" s="201"/>
      <c r="K39" s="204"/>
      <c r="L39" s="205"/>
      <c r="M39" s="205"/>
    </row>
    <row r="40" spans="1:13" ht="15.75">
      <c r="A40" s="240">
        <f t="shared" si="14"/>
        <v>6.0299999999999994</v>
      </c>
      <c r="B40" s="244" t="s">
        <v>148</v>
      </c>
      <c r="C40" s="248" t="s">
        <v>128</v>
      </c>
      <c r="D40" s="246">
        <v>1</v>
      </c>
      <c r="E40" s="247">
        <v>10000</v>
      </c>
      <c r="F40" s="211">
        <f t="shared" si="13"/>
        <v>10000</v>
      </c>
      <c r="G40" s="199"/>
      <c r="H40" s="199"/>
      <c r="I40" s="200"/>
      <c r="J40" s="201"/>
      <c r="K40" s="204"/>
      <c r="L40" s="205"/>
      <c r="M40" s="205"/>
    </row>
    <row r="41" spans="1:13" ht="15.75">
      <c r="A41" s="240">
        <f t="shared" si="14"/>
        <v>6.0399999999999991</v>
      </c>
      <c r="B41" s="249" t="s">
        <v>149</v>
      </c>
      <c r="C41" s="248" t="s">
        <v>128</v>
      </c>
      <c r="D41" s="246">
        <v>1</v>
      </c>
      <c r="E41" s="247">
        <v>39500</v>
      </c>
      <c r="F41" s="211">
        <f t="shared" si="13"/>
        <v>39500</v>
      </c>
      <c r="G41" s="199"/>
      <c r="H41" s="199"/>
      <c r="I41" s="200"/>
      <c r="J41" s="201"/>
      <c r="K41" s="204"/>
      <c r="L41" s="205"/>
      <c r="M41" s="205"/>
    </row>
    <row r="42" spans="1:13" ht="31.5">
      <c r="A42" s="240">
        <f t="shared" si="14"/>
        <v>6.0499999999999989</v>
      </c>
      <c r="B42" s="250" t="s">
        <v>150</v>
      </c>
      <c r="C42" s="248" t="s">
        <v>128</v>
      </c>
      <c r="D42" s="246">
        <v>1</v>
      </c>
      <c r="E42" s="247">
        <v>8500</v>
      </c>
      <c r="F42" s="251">
        <f t="shared" si="13"/>
        <v>8500</v>
      </c>
      <c r="G42" s="199"/>
      <c r="H42" s="199"/>
      <c r="I42" s="200"/>
      <c r="J42" s="201"/>
      <c r="K42" s="204"/>
      <c r="L42" s="205"/>
      <c r="M42" s="205"/>
    </row>
    <row r="43" spans="1:13" ht="15.75">
      <c r="A43" s="240">
        <f t="shared" si="14"/>
        <v>6.0599999999999987</v>
      </c>
      <c r="B43" s="221" t="s">
        <v>133</v>
      </c>
      <c r="C43" s="222"/>
      <c r="D43" s="222"/>
      <c r="E43" s="224"/>
      <c r="F43" s="224">
        <f>SUM(F38:F42)</f>
        <v>142000</v>
      </c>
      <c r="G43" s="199"/>
      <c r="H43" s="199"/>
      <c r="I43" s="200"/>
      <c r="J43" s="201"/>
      <c r="K43" s="204"/>
      <c r="L43" s="205"/>
      <c r="M43" s="205"/>
    </row>
    <row r="44" spans="1:13" ht="15.75">
      <c r="A44" s="206"/>
      <c r="B44" s="235"/>
      <c r="C44" s="204"/>
      <c r="D44" s="204"/>
      <c r="E44" s="205"/>
      <c r="F44" s="224"/>
      <c r="G44" s="199"/>
      <c r="H44" s="199"/>
      <c r="I44" s="200"/>
      <c r="J44" s="201"/>
      <c r="K44" s="204"/>
      <c r="L44" s="205"/>
      <c r="M44" s="205"/>
    </row>
    <row r="45" spans="1:13" ht="15.75">
      <c r="A45" s="242">
        <v>7</v>
      </c>
      <c r="B45" s="243" t="s">
        <v>151</v>
      </c>
      <c r="C45" s="222"/>
      <c r="D45" s="222"/>
      <c r="E45" s="224"/>
      <c r="F45" s="224"/>
      <c r="G45" s="199"/>
      <c r="H45" s="199"/>
      <c r="I45" s="200"/>
      <c r="J45" s="201"/>
      <c r="K45" s="204"/>
      <c r="L45" s="205"/>
      <c r="M45" s="205"/>
    </row>
    <row r="46" spans="1:13" ht="15.75">
      <c r="A46" s="240">
        <f>A45+0.01</f>
        <v>7.01</v>
      </c>
      <c r="B46" s="249" t="s">
        <v>146</v>
      </c>
      <c r="C46" s="245" t="s">
        <v>128</v>
      </c>
      <c r="D46" s="246">
        <v>1</v>
      </c>
      <c r="E46" s="247">
        <v>33500</v>
      </c>
      <c r="F46" s="251">
        <f t="shared" ref="F46:F50" si="15">D46*E46</f>
        <v>33500</v>
      </c>
      <c r="G46" s="199"/>
      <c r="H46" s="199"/>
      <c r="I46" s="200"/>
      <c r="J46" s="201"/>
      <c r="K46" s="204"/>
      <c r="L46" s="205"/>
      <c r="M46" s="205"/>
    </row>
    <row r="47" spans="1:13" ht="15.75">
      <c r="A47" s="240">
        <f t="shared" ref="A47:A50" si="16">A46+0.01</f>
        <v>7.02</v>
      </c>
      <c r="B47" s="244" t="s">
        <v>148</v>
      </c>
      <c r="C47" s="245" t="s">
        <v>128</v>
      </c>
      <c r="D47" s="246">
        <v>1</v>
      </c>
      <c r="E47" s="247">
        <v>7500</v>
      </c>
      <c r="F47" s="251">
        <f t="shared" si="15"/>
        <v>7500</v>
      </c>
      <c r="G47" s="199"/>
      <c r="H47" s="199"/>
      <c r="I47" s="200"/>
      <c r="J47" s="201"/>
      <c r="K47" s="204"/>
      <c r="L47" s="205"/>
      <c r="M47" s="205"/>
    </row>
    <row r="48" spans="1:13" ht="15.75">
      <c r="A48" s="240">
        <f t="shared" si="16"/>
        <v>7.0299999999999994</v>
      </c>
      <c r="B48" s="249" t="s">
        <v>149</v>
      </c>
      <c r="C48" s="248" t="s">
        <v>128</v>
      </c>
      <c r="D48" s="246">
        <v>1</v>
      </c>
      <c r="E48" s="247">
        <v>40500</v>
      </c>
      <c r="F48" s="251">
        <f t="shared" si="15"/>
        <v>40500</v>
      </c>
      <c r="G48" s="199"/>
      <c r="H48" s="199"/>
      <c r="I48" s="200"/>
      <c r="J48" s="201"/>
      <c r="K48" s="204"/>
      <c r="L48" s="205"/>
      <c r="M48" s="205"/>
    </row>
    <row r="49" spans="1:13" ht="15.75">
      <c r="A49" s="240">
        <f t="shared" si="16"/>
        <v>7.0399999999999991</v>
      </c>
      <c r="B49" s="249" t="s">
        <v>152</v>
      </c>
      <c r="C49" s="248" t="s">
        <v>128</v>
      </c>
      <c r="D49" s="246">
        <v>2</v>
      </c>
      <c r="E49" s="247">
        <v>4800</v>
      </c>
      <c r="F49" s="251">
        <f t="shared" si="15"/>
        <v>9600</v>
      </c>
      <c r="G49" s="199"/>
      <c r="H49" s="199"/>
      <c r="I49" s="200"/>
      <c r="J49" s="201"/>
      <c r="K49" s="204"/>
      <c r="L49" s="205"/>
      <c r="M49" s="205"/>
    </row>
    <row r="50" spans="1:13" ht="31.5">
      <c r="A50" s="240">
        <f t="shared" si="16"/>
        <v>7.0499999999999989</v>
      </c>
      <c r="B50" s="250" t="s">
        <v>150</v>
      </c>
      <c r="C50" s="248" t="s">
        <v>128</v>
      </c>
      <c r="D50" s="246">
        <v>2</v>
      </c>
      <c r="E50" s="247">
        <v>8500</v>
      </c>
      <c r="F50" s="251">
        <f t="shared" si="15"/>
        <v>17000</v>
      </c>
      <c r="G50" s="199"/>
      <c r="H50" s="199"/>
      <c r="I50" s="200"/>
      <c r="J50" s="201"/>
      <c r="K50" s="204"/>
      <c r="L50" s="205"/>
      <c r="M50" s="205"/>
    </row>
    <row r="51" spans="1:13" ht="15.75">
      <c r="A51" s="240"/>
      <c r="B51" s="221" t="s">
        <v>133</v>
      </c>
      <c r="C51" s="248"/>
      <c r="D51" s="246"/>
      <c r="E51" s="247"/>
      <c r="F51" s="252">
        <f>SUM(F46:F50)</f>
        <v>108100</v>
      </c>
      <c r="G51" s="199"/>
      <c r="H51" s="199"/>
      <c r="I51" s="200"/>
      <c r="J51" s="201"/>
      <c r="K51" s="204"/>
      <c r="L51" s="205"/>
      <c r="M51" s="205"/>
    </row>
    <row r="52" spans="1:13" ht="15.75">
      <c r="A52" s="240"/>
      <c r="B52" s="221"/>
      <c r="C52" s="248"/>
      <c r="D52" s="246"/>
      <c r="E52" s="247"/>
      <c r="F52" s="252"/>
      <c r="G52" s="199"/>
      <c r="H52" s="199"/>
      <c r="I52" s="200"/>
      <c r="J52" s="201"/>
      <c r="K52" s="204"/>
      <c r="L52" s="205"/>
      <c r="M52" s="205"/>
    </row>
    <row r="53" spans="1:13" ht="15.75">
      <c r="A53" s="242">
        <v>8</v>
      </c>
      <c r="B53" s="243" t="s">
        <v>153</v>
      </c>
      <c r="C53" s="248"/>
      <c r="D53" s="246"/>
      <c r="E53" s="247"/>
      <c r="F53" s="251"/>
      <c r="G53" s="199"/>
      <c r="H53" s="199"/>
      <c r="I53" s="200"/>
      <c r="J53" s="201"/>
      <c r="K53" s="204"/>
      <c r="L53" s="205"/>
      <c r="M53" s="205"/>
    </row>
    <row r="54" spans="1:13" ht="78.75">
      <c r="A54" s="240">
        <f>A53+0.01</f>
        <v>8.01</v>
      </c>
      <c r="B54" s="253" t="s">
        <v>154</v>
      </c>
      <c r="C54" s="248" t="s">
        <v>128</v>
      </c>
      <c r="D54" s="246">
        <v>1</v>
      </c>
      <c r="E54" s="247">
        <v>798115.5</v>
      </c>
      <c r="F54" s="251">
        <f t="shared" ref="F54:F60" si="17">D54*E54</f>
        <v>798115.5</v>
      </c>
      <c r="G54" s="199"/>
      <c r="H54" s="199"/>
      <c r="I54" s="200"/>
      <c r="J54" s="201"/>
      <c r="K54" s="204"/>
      <c r="L54" s="205"/>
      <c r="M54" s="205"/>
    </row>
    <row r="55" spans="1:13" ht="63">
      <c r="A55" s="240">
        <f>A54+0.01</f>
        <v>8.02</v>
      </c>
      <c r="B55" s="253" t="s">
        <v>155</v>
      </c>
      <c r="C55" s="248" t="s">
        <v>128</v>
      </c>
      <c r="D55" s="246">
        <v>1</v>
      </c>
      <c r="E55" s="247">
        <v>47203</v>
      </c>
      <c r="F55" s="251">
        <f t="shared" si="17"/>
        <v>47203</v>
      </c>
      <c r="G55" s="199"/>
      <c r="H55" s="199"/>
      <c r="I55" s="200"/>
      <c r="J55" s="201"/>
      <c r="K55" s="204"/>
      <c r="L55" s="205"/>
      <c r="M55" s="205"/>
    </row>
    <row r="56" spans="1:13" ht="63">
      <c r="A56" s="240">
        <f t="shared" ref="A56:A60" si="18">A55+0.01</f>
        <v>8.0299999999999994</v>
      </c>
      <c r="B56" s="244" t="s">
        <v>156</v>
      </c>
      <c r="C56" s="248" t="s">
        <v>128</v>
      </c>
      <c r="D56" s="246">
        <v>1</v>
      </c>
      <c r="E56" s="247">
        <v>72115.16</v>
      </c>
      <c r="F56" s="251">
        <f t="shared" si="17"/>
        <v>72115.16</v>
      </c>
      <c r="G56" s="199"/>
      <c r="H56" s="199"/>
      <c r="I56" s="200"/>
      <c r="J56" s="201"/>
      <c r="K56" s="204"/>
      <c r="L56" s="205"/>
      <c r="M56" s="205"/>
    </row>
    <row r="57" spans="1:13" ht="31.5">
      <c r="A57" s="240">
        <f t="shared" si="18"/>
        <v>8.0399999999999991</v>
      </c>
      <c r="B57" s="244" t="s">
        <v>157</v>
      </c>
      <c r="C57" s="248" t="s">
        <v>128</v>
      </c>
      <c r="D57" s="246">
        <v>1</v>
      </c>
      <c r="E57" s="247">
        <v>45000</v>
      </c>
      <c r="F57" s="251">
        <f t="shared" si="17"/>
        <v>45000</v>
      </c>
      <c r="G57" s="199"/>
      <c r="H57" s="199"/>
      <c r="I57" s="200"/>
      <c r="J57" s="201"/>
      <c r="K57" s="204"/>
      <c r="L57" s="205"/>
      <c r="M57" s="205"/>
    </row>
    <row r="58" spans="1:13" ht="63">
      <c r="A58" s="240">
        <f t="shared" si="18"/>
        <v>8.0499999999999989</v>
      </c>
      <c r="B58" s="244" t="s">
        <v>158</v>
      </c>
      <c r="C58" s="248" t="s">
        <v>128</v>
      </c>
      <c r="D58" s="246">
        <v>1</v>
      </c>
      <c r="E58" s="247">
        <v>9933.65</v>
      </c>
      <c r="F58" s="251">
        <f t="shared" si="17"/>
        <v>9933.65</v>
      </c>
      <c r="G58" s="199"/>
      <c r="H58" s="199"/>
      <c r="I58" s="200"/>
      <c r="J58" s="201"/>
      <c r="K58" s="204"/>
      <c r="L58" s="205"/>
      <c r="M58" s="205"/>
    </row>
    <row r="59" spans="1:13" ht="31.5">
      <c r="A59" s="240">
        <f t="shared" si="18"/>
        <v>8.0599999999999987</v>
      </c>
      <c r="B59" s="244" t="s">
        <v>159</v>
      </c>
      <c r="C59" s="248" t="s">
        <v>128</v>
      </c>
      <c r="D59" s="246">
        <v>1</v>
      </c>
      <c r="E59" s="247">
        <v>3605.57</v>
      </c>
      <c r="F59" s="251">
        <f t="shared" si="17"/>
        <v>3605.57</v>
      </c>
      <c r="G59" s="199"/>
      <c r="H59" s="199"/>
      <c r="I59" s="200"/>
      <c r="J59" s="201"/>
      <c r="K59" s="204"/>
      <c r="L59" s="205"/>
      <c r="M59" s="205"/>
    </row>
    <row r="60" spans="1:13" ht="47.25">
      <c r="A60" s="240">
        <f t="shared" si="18"/>
        <v>8.0699999999999985</v>
      </c>
      <c r="B60" s="244" t="s">
        <v>160</v>
      </c>
      <c r="C60" s="248" t="s">
        <v>128</v>
      </c>
      <c r="D60" s="246">
        <v>16</v>
      </c>
      <c r="E60" s="247">
        <v>4971.01</v>
      </c>
      <c r="F60" s="251">
        <f t="shared" si="17"/>
        <v>79536.160000000003</v>
      </c>
      <c r="G60" s="199"/>
      <c r="H60" s="199"/>
      <c r="I60" s="200"/>
      <c r="J60" s="201"/>
      <c r="K60" s="204"/>
      <c r="L60" s="205"/>
      <c r="M60" s="205"/>
    </row>
    <row r="61" spans="1:13" ht="15.75">
      <c r="A61" s="240"/>
      <c r="B61" s="221" t="s">
        <v>133</v>
      </c>
      <c r="C61" s="248"/>
      <c r="D61" s="246"/>
      <c r="E61" s="247"/>
      <c r="F61" s="252">
        <f>SUM(F54:F60)</f>
        <v>1055509.04</v>
      </c>
      <c r="G61" s="199"/>
      <c r="H61" s="199"/>
      <c r="I61" s="200"/>
      <c r="J61" s="201"/>
      <c r="K61" s="204"/>
      <c r="L61" s="205"/>
      <c r="M61" s="205"/>
    </row>
    <row r="62" spans="1:13" ht="15.75">
      <c r="A62" s="240"/>
      <c r="B62" s="221"/>
      <c r="C62" s="248"/>
      <c r="D62" s="246"/>
      <c r="E62" s="247"/>
      <c r="F62" s="252"/>
      <c r="G62" s="199"/>
      <c r="H62" s="199"/>
      <c r="I62" s="200"/>
      <c r="J62" s="201"/>
      <c r="K62" s="204"/>
      <c r="L62" s="205"/>
      <c r="M62" s="205"/>
    </row>
    <row r="63" spans="1:13" ht="15.75">
      <c r="A63" s="242">
        <v>9</v>
      </c>
      <c r="B63" s="243" t="s">
        <v>161</v>
      </c>
      <c r="C63" s="248"/>
      <c r="D63" s="246"/>
      <c r="E63" s="247"/>
      <c r="F63" s="251"/>
      <c r="G63" s="199"/>
      <c r="H63" s="199"/>
      <c r="I63" s="200"/>
      <c r="J63" s="201"/>
      <c r="K63" s="204"/>
      <c r="L63" s="205"/>
      <c r="M63" s="205"/>
    </row>
    <row r="64" spans="1:13" ht="78.75">
      <c r="A64" s="240">
        <f>A63+0.01</f>
        <v>9.01</v>
      </c>
      <c r="B64" s="253" t="s">
        <v>154</v>
      </c>
      <c r="C64" s="248" t="s">
        <v>128</v>
      </c>
      <c r="D64" s="246">
        <v>1</v>
      </c>
      <c r="E64" s="247">
        <v>798115.5</v>
      </c>
      <c r="F64" s="251">
        <f t="shared" ref="F64:F70" si="19">D64*E64</f>
        <v>798115.5</v>
      </c>
      <c r="G64" s="199"/>
      <c r="H64" s="199"/>
      <c r="I64" s="200"/>
      <c r="J64" s="201"/>
      <c r="K64" s="204"/>
      <c r="L64" s="205"/>
      <c r="M64" s="205"/>
    </row>
    <row r="65" spans="1:13" ht="63">
      <c r="A65" s="240">
        <f>A64+0.01</f>
        <v>9.02</v>
      </c>
      <c r="B65" s="253" t="s">
        <v>155</v>
      </c>
      <c r="C65" s="248" t="s">
        <v>128</v>
      </c>
      <c r="D65" s="246">
        <v>1</v>
      </c>
      <c r="E65" s="247">
        <v>47203</v>
      </c>
      <c r="F65" s="251">
        <f t="shared" si="19"/>
        <v>47203</v>
      </c>
      <c r="G65" s="199"/>
      <c r="H65" s="199"/>
      <c r="I65" s="200"/>
      <c r="J65" s="201"/>
      <c r="K65" s="204"/>
      <c r="L65" s="205"/>
      <c r="M65" s="205"/>
    </row>
    <row r="66" spans="1:13" ht="63">
      <c r="A66" s="240">
        <f t="shared" ref="A66:A70" si="20">A65+0.01</f>
        <v>9.0299999999999994</v>
      </c>
      <c r="B66" s="244" t="s">
        <v>156</v>
      </c>
      <c r="C66" s="248" t="s">
        <v>128</v>
      </c>
      <c r="D66" s="246">
        <v>1</v>
      </c>
      <c r="E66" s="247">
        <v>72115.16</v>
      </c>
      <c r="F66" s="251">
        <f t="shared" si="19"/>
        <v>72115.16</v>
      </c>
      <c r="G66" s="199"/>
      <c r="H66" s="199"/>
      <c r="I66" s="200"/>
      <c r="J66" s="201"/>
      <c r="K66" s="204"/>
      <c r="L66" s="205"/>
      <c r="M66" s="205"/>
    </row>
    <row r="67" spans="1:13" ht="31.5">
      <c r="A67" s="240">
        <f t="shared" si="20"/>
        <v>9.0399999999999991</v>
      </c>
      <c r="B67" s="244" t="s">
        <v>157</v>
      </c>
      <c r="C67" s="248" t="s">
        <v>128</v>
      </c>
      <c r="D67" s="246">
        <v>1</v>
      </c>
      <c r="E67" s="247">
        <v>45000</v>
      </c>
      <c r="F67" s="251">
        <f t="shared" si="19"/>
        <v>45000</v>
      </c>
      <c r="G67" s="199"/>
      <c r="H67" s="199"/>
      <c r="I67" s="200"/>
      <c r="J67" s="201"/>
      <c r="K67" s="204"/>
      <c r="L67" s="205"/>
      <c r="M67" s="205"/>
    </row>
    <row r="68" spans="1:13" ht="63">
      <c r="A68" s="240">
        <f t="shared" si="20"/>
        <v>9.0499999999999989</v>
      </c>
      <c r="B68" s="244" t="s">
        <v>158</v>
      </c>
      <c r="C68" s="248" t="s">
        <v>128</v>
      </c>
      <c r="D68" s="246">
        <v>1</v>
      </c>
      <c r="E68" s="247">
        <v>9933.65</v>
      </c>
      <c r="F68" s="251">
        <f t="shared" si="19"/>
        <v>9933.65</v>
      </c>
      <c r="G68" s="199"/>
      <c r="H68" s="199"/>
      <c r="I68" s="200"/>
      <c r="J68" s="201"/>
      <c r="K68" s="204"/>
      <c r="L68" s="205"/>
      <c r="M68" s="205"/>
    </row>
    <row r="69" spans="1:13" ht="31.5">
      <c r="A69" s="240">
        <f t="shared" si="20"/>
        <v>9.0599999999999987</v>
      </c>
      <c r="B69" s="244" t="s">
        <v>159</v>
      </c>
      <c r="C69" s="248" t="s">
        <v>128</v>
      </c>
      <c r="D69" s="246">
        <v>1</v>
      </c>
      <c r="E69" s="247">
        <v>3605.57</v>
      </c>
      <c r="F69" s="251">
        <f t="shared" si="19"/>
        <v>3605.57</v>
      </c>
      <c r="G69" s="199"/>
      <c r="H69" s="199"/>
      <c r="I69" s="200"/>
      <c r="J69" s="201"/>
      <c r="K69" s="204"/>
      <c r="L69" s="205"/>
      <c r="M69" s="205"/>
    </row>
    <row r="70" spans="1:13" ht="47.25">
      <c r="A70" s="240">
        <f t="shared" si="20"/>
        <v>9.0699999999999985</v>
      </c>
      <c r="B70" s="244" t="s">
        <v>160</v>
      </c>
      <c r="C70" s="248" t="s">
        <v>128</v>
      </c>
      <c r="D70" s="246">
        <v>16</v>
      </c>
      <c r="E70" s="247">
        <v>4971.01</v>
      </c>
      <c r="F70" s="251">
        <f t="shared" si="19"/>
        <v>79536.160000000003</v>
      </c>
      <c r="G70" s="199"/>
      <c r="H70" s="199"/>
      <c r="I70" s="200"/>
      <c r="J70" s="201"/>
      <c r="K70" s="204"/>
      <c r="L70" s="205"/>
      <c r="M70" s="205"/>
    </row>
    <row r="71" spans="1:13" ht="15.75">
      <c r="A71" s="240"/>
      <c r="B71" s="221" t="s">
        <v>133</v>
      </c>
      <c r="C71" s="248"/>
      <c r="D71" s="246"/>
      <c r="E71" s="247"/>
      <c r="F71" s="252">
        <f>SUM(F64:F70)</f>
        <v>1055509.04</v>
      </c>
      <c r="G71" s="199"/>
      <c r="H71" s="199"/>
      <c r="I71" s="200"/>
      <c r="J71" s="201"/>
      <c r="K71" s="204"/>
      <c r="L71" s="205"/>
      <c r="M71" s="205"/>
    </row>
    <row r="72" spans="1:13" ht="15.75">
      <c r="A72" s="240"/>
      <c r="B72" s="221"/>
      <c r="C72" s="248"/>
      <c r="D72" s="246"/>
      <c r="E72" s="247"/>
      <c r="F72" s="252"/>
      <c r="G72" s="199"/>
      <c r="H72" s="199"/>
      <c r="I72" s="200"/>
      <c r="J72" s="201"/>
      <c r="K72" s="204"/>
      <c r="L72" s="205"/>
      <c r="M72" s="205"/>
    </row>
    <row r="73" spans="1:13" ht="15.75">
      <c r="A73" s="242">
        <v>10</v>
      </c>
      <c r="B73" s="243" t="s">
        <v>161</v>
      </c>
      <c r="C73" s="248"/>
      <c r="D73" s="246"/>
      <c r="E73" s="247"/>
      <c r="F73" s="251"/>
      <c r="G73" s="199"/>
      <c r="H73" s="199"/>
      <c r="I73" s="200"/>
      <c r="J73" s="201"/>
      <c r="K73" s="204"/>
      <c r="L73" s="205"/>
      <c r="M73" s="205"/>
    </row>
    <row r="74" spans="1:13" ht="78.75">
      <c r="A74" s="240">
        <f>A73+0.01</f>
        <v>10.01</v>
      </c>
      <c r="B74" s="253" t="s">
        <v>154</v>
      </c>
      <c r="C74" s="248" t="s">
        <v>128</v>
      </c>
      <c r="D74" s="246">
        <v>1</v>
      </c>
      <c r="E74" s="247">
        <v>798115.5</v>
      </c>
      <c r="F74" s="251">
        <f t="shared" ref="F74:F80" si="21">D74*E74</f>
        <v>798115.5</v>
      </c>
      <c r="G74" s="199"/>
      <c r="H74" s="199"/>
      <c r="I74" s="200"/>
      <c r="J74" s="201"/>
      <c r="K74" s="204"/>
      <c r="L74" s="205"/>
      <c r="M74" s="205"/>
    </row>
    <row r="75" spans="1:13" ht="63">
      <c r="A75" s="240">
        <f>A74+0.01</f>
        <v>10.02</v>
      </c>
      <c r="B75" s="253" t="s">
        <v>155</v>
      </c>
      <c r="C75" s="248" t="s">
        <v>128</v>
      </c>
      <c r="D75" s="246">
        <v>1</v>
      </c>
      <c r="E75" s="247">
        <v>47203</v>
      </c>
      <c r="F75" s="251">
        <f t="shared" si="21"/>
        <v>47203</v>
      </c>
      <c r="G75" s="199"/>
      <c r="H75" s="199"/>
      <c r="I75" s="200"/>
      <c r="J75" s="201"/>
      <c r="K75" s="204"/>
      <c r="L75" s="205"/>
      <c r="M75" s="205"/>
    </row>
    <row r="76" spans="1:13" ht="63">
      <c r="A76" s="240">
        <f t="shared" ref="A76:A80" si="22">A75+0.01</f>
        <v>10.029999999999999</v>
      </c>
      <c r="B76" s="244" t="s">
        <v>156</v>
      </c>
      <c r="C76" s="248" t="s">
        <v>128</v>
      </c>
      <c r="D76" s="246">
        <v>1</v>
      </c>
      <c r="E76" s="247">
        <v>72115.16</v>
      </c>
      <c r="F76" s="251">
        <f t="shared" si="21"/>
        <v>72115.16</v>
      </c>
      <c r="G76" s="199"/>
      <c r="H76" s="199"/>
      <c r="I76" s="200"/>
      <c r="J76" s="201"/>
      <c r="K76" s="204"/>
      <c r="L76" s="205"/>
      <c r="M76" s="205"/>
    </row>
    <row r="77" spans="1:13" ht="31.5">
      <c r="A77" s="240">
        <f t="shared" si="22"/>
        <v>10.039999999999999</v>
      </c>
      <c r="B77" s="244" t="s">
        <v>157</v>
      </c>
      <c r="C77" s="248" t="s">
        <v>128</v>
      </c>
      <c r="D77" s="246">
        <v>1</v>
      </c>
      <c r="E77" s="247">
        <v>45000</v>
      </c>
      <c r="F77" s="251">
        <f t="shared" si="21"/>
        <v>45000</v>
      </c>
      <c r="G77" s="199"/>
      <c r="H77" s="199"/>
      <c r="I77" s="200"/>
      <c r="J77" s="201"/>
      <c r="K77" s="204"/>
      <c r="L77" s="205"/>
      <c r="M77" s="205"/>
    </row>
    <row r="78" spans="1:13" ht="63">
      <c r="A78" s="240">
        <f t="shared" si="22"/>
        <v>10.049999999999999</v>
      </c>
      <c r="B78" s="244" t="s">
        <v>158</v>
      </c>
      <c r="C78" s="248" t="s">
        <v>128</v>
      </c>
      <c r="D78" s="246">
        <v>1</v>
      </c>
      <c r="E78" s="247">
        <v>9933.65</v>
      </c>
      <c r="F78" s="251">
        <f t="shared" si="21"/>
        <v>9933.65</v>
      </c>
      <c r="G78" s="199"/>
      <c r="H78" s="199"/>
      <c r="I78" s="200"/>
      <c r="J78" s="201"/>
      <c r="K78" s="204"/>
      <c r="L78" s="205"/>
      <c r="M78" s="205"/>
    </row>
    <row r="79" spans="1:13" ht="31.5">
      <c r="A79" s="240">
        <f t="shared" si="22"/>
        <v>10.059999999999999</v>
      </c>
      <c r="B79" s="244" t="s">
        <v>159</v>
      </c>
      <c r="C79" s="248" t="s">
        <v>128</v>
      </c>
      <c r="D79" s="246">
        <v>1</v>
      </c>
      <c r="E79" s="247">
        <v>3605.57</v>
      </c>
      <c r="F79" s="251">
        <f t="shared" si="21"/>
        <v>3605.57</v>
      </c>
      <c r="G79" s="199"/>
      <c r="H79" s="199"/>
      <c r="I79" s="200"/>
      <c r="J79" s="201"/>
      <c r="K79" s="204"/>
      <c r="L79" s="205"/>
      <c r="M79" s="205"/>
    </row>
    <row r="80" spans="1:13" ht="47.25">
      <c r="A80" s="240">
        <f t="shared" si="22"/>
        <v>10.069999999999999</v>
      </c>
      <c r="B80" s="244" t="s">
        <v>160</v>
      </c>
      <c r="C80" s="248" t="s">
        <v>128</v>
      </c>
      <c r="D80" s="246">
        <v>16</v>
      </c>
      <c r="E80" s="247">
        <v>4971.01</v>
      </c>
      <c r="F80" s="251">
        <f t="shared" si="21"/>
        <v>79536.160000000003</v>
      </c>
      <c r="G80" s="199"/>
      <c r="H80" s="199"/>
      <c r="I80" s="200"/>
      <c r="J80" s="201"/>
      <c r="K80" s="204"/>
      <c r="L80" s="205"/>
      <c r="M80" s="205"/>
    </row>
    <row r="81" spans="1:13" ht="15.75">
      <c r="A81" s="240"/>
      <c r="B81" s="221" t="s">
        <v>133</v>
      </c>
      <c r="C81" s="248"/>
      <c r="D81" s="246"/>
      <c r="E81" s="247"/>
      <c r="F81" s="252">
        <f>SUM(F74:F80)</f>
        <v>1055509.04</v>
      </c>
      <c r="G81" s="199"/>
      <c r="H81" s="199"/>
      <c r="I81" s="200"/>
      <c r="J81" s="201"/>
      <c r="K81" s="204"/>
      <c r="L81" s="205"/>
      <c r="M81" s="205"/>
    </row>
    <row r="82" spans="1:13" ht="15.75">
      <c r="A82" s="240"/>
      <c r="B82" s="221"/>
      <c r="C82" s="248"/>
      <c r="D82" s="246"/>
      <c r="E82" s="247"/>
      <c r="F82" s="252"/>
      <c r="G82" s="199"/>
      <c r="H82" s="199"/>
      <c r="I82" s="200"/>
      <c r="J82" s="201"/>
      <c r="K82" s="204"/>
      <c r="L82" s="205"/>
      <c r="M82" s="205"/>
    </row>
    <row r="83" spans="1:13" ht="15.75">
      <c r="A83" s="240"/>
      <c r="B83" s="254" t="s">
        <v>90</v>
      </c>
      <c r="C83" s="255"/>
      <c r="D83" s="255"/>
      <c r="E83" s="49"/>
      <c r="F83" s="256">
        <f>F81+F71+F61+F51+F43+F35+F28+F24+F20+F16</f>
        <v>17263878.878672</v>
      </c>
      <c r="G83" s="199"/>
      <c r="H83" s="199"/>
      <c r="I83" s="200"/>
      <c r="J83" s="201"/>
      <c r="K83" s="227">
        <f>K35+K28+K24+K16</f>
        <v>7753098.1588631757</v>
      </c>
      <c r="L83" s="205">
        <f>L20+L16+L24+L28</f>
        <v>1867043.8465869999</v>
      </c>
      <c r="M83" s="231">
        <f t="shared" ref="M83" si="23">K83+L83</f>
        <v>9620142.0054501761</v>
      </c>
    </row>
    <row r="84" spans="1:13">
      <c r="A84" s="3"/>
      <c r="B84" s="8"/>
      <c r="C84" s="3"/>
      <c r="D84" s="3"/>
      <c r="E84" s="257"/>
      <c r="F84" s="3"/>
      <c r="G84" s="3"/>
      <c r="H84" s="3"/>
      <c r="I84" s="3"/>
      <c r="J84" s="3"/>
      <c r="K84" s="162"/>
      <c r="L84" s="258"/>
      <c r="M84" s="258"/>
    </row>
    <row r="85" spans="1:13">
      <c r="A85" s="79"/>
      <c r="B85" s="8"/>
      <c r="C85" s="259"/>
      <c r="D85" s="259"/>
      <c r="E85" s="121"/>
      <c r="F85" s="149"/>
      <c r="G85" s="260"/>
      <c r="H85" s="261"/>
      <c r="I85" s="262"/>
      <c r="J85" s="263"/>
      <c r="K85" s="264"/>
      <c r="L85" s="265"/>
      <c r="M85" s="266"/>
    </row>
    <row r="86" spans="1:13">
      <c r="A86" s="79"/>
    </row>
    <row r="87" spans="1:13">
      <c r="A87" s="79"/>
      <c r="B87" s="267"/>
      <c r="C87" s="3"/>
      <c r="D87" s="3"/>
      <c r="E87" s="121"/>
      <c r="F87" s="149"/>
      <c r="G87" s="260"/>
      <c r="H87" s="261"/>
      <c r="I87" s="262"/>
      <c r="J87" s="263"/>
      <c r="K87" s="264"/>
      <c r="L87" s="265"/>
      <c r="M87" s="266"/>
    </row>
    <row r="88" spans="1:13">
      <c r="A88" s="79"/>
      <c r="B88" s="8"/>
      <c r="C88" s="3"/>
      <c r="D88" s="3"/>
      <c r="E88" s="121"/>
      <c r="F88" s="149"/>
      <c r="G88" s="260"/>
      <c r="H88" s="261"/>
      <c r="I88" s="262"/>
      <c r="J88" s="263"/>
      <c r="K88" s="264"/>
      <c r="L88" s="265"/>
      <c r="M88" s="266"/>
    </row>
    <row r="89" spans="1:13">
      <c r="A89" s="79"/>
      <c r="B89" s="8"/>
      <c r="C89" s="3"/>
      <c r="D89" s="3"/>
      <c r="E89" s="121"/>
      <c r="F89" s="149"/>
      <c r="H89" s="261"/>
      <c r="I89" s="262"/>
      <c r="J89" s="263"/>
      <c r="K89" s="264"/>
      <c r="L89" s="265"/>
      <c r="M89" s="266"/>
    </row>
    <row r="90" spans="1:13">
      <c r="A90" s="79"/>
      <c r="B90" s="8"/>
      <c r="C90" s="3"/>
      <c r="D90" s="3"/>
      <c r="E90" s="121"/>
      <c r="F90" s="149"/>
      <c r="G90" s="260"/>
      <c r="H90" s="261"/>
      <c r="I90" s="262"/>
      <c r="J90" s="263"/>
      <c r="K90" s="264"/>
      <c r="L90" s="265"/>
      <c r="M90" s="266"/>
    </row>
    <row r="91" spans="1:13">
      <c r="A91" s="79"/>
      <c r="B91" s="5"/>
      <c r="C91" s="121"/>
      <c r="D91" s="121"/>
      <c r="E91" s="121"/>
      <c r="G91" s="260"/>
      <c r="H91" s="261"/>
      <c r="I91" s="262"/>
      <c r="J91" s="263"/>
      <c r="K91" s="264"/>
      <c r="L91" s="265"/>
      <c r="M91" s="266"/>
    </row>
    <row r="92" spans="1:13">
      <c r="A92" s="79"/>
      <c r="B92" s="5"/>
      <c r="C92" s="121"/>
      <c r="D92" s="121"/>
      <c r="E92" s="121"/>
      <c r="F92" s="149"/>
      <c r="G92" s="260"/>
      <c r="H92" s="261"/>
      <c r="I92" s="262"/>
      <c r="J92" s="263"/>
      <c r="K92" s="264"/>
      <c r="L92" s="265"/>
      <c r="M92" s="266"/>
    </row>
    <row r="93" spans="1:13">
      <c r="A93" s="79"/>
      <c r="B93" s="5"/>
      <c r="C93" s="121"/>
      <c r="D93" s="121"/>
      <c r="E93" s="121"/>
      <c r="F93" s="149"/>
      <c r="G93" s="260"/>
      <c r="H93" s="261"/>
      <c r="I93" s="262"/>
      <c r="J93" s="263"/>
      <c r="K93" s="264"/>
      <c r="L93" s="265"/>
      <c r="M93" s="266"/>
    </row>
    <row r="94" spans="1:13">
      <c r="A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</row>
    <row r="95" spans="1:13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</row>
    <row r="96" spans="1:13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</row>
    <row r="97" spans="1:13">
      <c r="A97" s="2"/>
      <c r="B97" s="1004" t="s">
        <v>162</v>
      </c>
      <c r="C97" s="1004"/>
      <c r="D97" s="1004"/>
      <c r="E97" s="1004"/>
      <c r="F97" s="1004"/>
      <c r="G97" s="1004"/>
      <c r="H97" s="1004"/>
      <c r="I97" s="1004"/>
      <c r="J97" s="1004"/>
      <c r="K97" s="1004"/>
      <c r="L97" s="8"/>
      <c r="M97" s="8"/>
    </row>
    <row r="98" spans="1:13">
      <c r="A98" s="2"/>
      <c r="B98" s="1005" t="s">
        <v>1</v>
      </c>
      <c r="C98" s="1005"/>
      <c r="D98" s="1005"/>
      <c r="E98" s="1005"/>
      <c r="F98" s="1005"/>
      <c r="G98" s="1005"/>
      <c r="H98" s="1005"/>
      <c r="I98" s="1005"/>
      <c r="J98" s="1005"/>
      <c r="K98" s="1005"/>
      <c r="L98" s="150"/>
      <c r="M98" s="268" t="s">
        <v>163</v>
      </c>
    </row>
    <row r="99" spans="1:13">
      <c r="A99" s="3"/>
      <c r="B99" s="269" t="s">
        <v>164</v>
      </c>
      <c r="C99" s="1032" t="s">
        <v>165</v>
      </c>
      <c r="D99" s="1032"/>
      <c r="E99" s="1032"/>
      <c r="F99" s="1032"/>
      <c r="G99" s="1032"/>
      <c r="H99" s="1032"/>
      <c r="I99" s="1032"/>
      <c r="J99" s="3"/>
      <c r="K99" s="3"/>
      <c r="L99" s="4" t="s">
        <v>122</v>
      </c>
      <c r="M99" s="6">
        <v>21044668.350000001</v>
      </c>
    </row>
    <row r="100" spans="1:13">
      <c r="A100" s="3"/>
      <c r="B100" s="4" t="s">
        <v>5</v>
      </c>
      <c r="C100" s="7">
        <v>2</v>
      </c>
      <c r="D100" s="3"/>
      <c r="E100" s="8"/>
      <c r="F100" s="8"/>
      <c r="G100" s="8"/>
      <c r="H100" s="3"/>
      <c r="I100" s="3"/>
      <c r="J100" s="3"/>
      <c r="K100" s="3"/>
      <c r="L100" s="4" t="s">
        <v>6</v>
      </c>
      <c r="M100" s="6">
        <v>2645359.2999999998</v>
      </c>
    </row>
    <row r="101" spans="1:13">
      <c r="A101" s="3"/>
      <c r="B101" s="4" t="s">
        <v>7</v>
      </c>
      <c r="C101" s="8" t="s">
        <v>123</v>
      </c>
      <c r="D101" s="8"/>
      <c r="E101" s="8"/>
      <c r="F101" s="8"/>
      <c r="G101" s="11"/>
      <c r="H101" s="3"/>
      <c r="I101" s="3"/>
      <c r="J101" s="3"/>
      <c r="K101" s="3"/>
      <c r="L101" s="4" t="s">
        <v>9</v>
      </c>
      <c r="M101" s="13" t="s">
        <v>125</v>
      </c>
    </row>
    <row r="102" spans="1:13">
      <c r="A102" s="3"/>
      <c r="B102" s="4" t="s">
        <v>11</v>
      </c>
      <c r="C102" s="8" t="s">
        <v>126</v>
      </c>
      <c r="D102" s="8"/>
      <c r="E102" s="8"/>
      <c r="F102" s="8"/>
      <c r="G102" s="8"/>
      <c r="H102" s="3"/>
      <c r="I102" s="3"/>
      <c r="J102" s="3"/>
      <c r="K102" s="3"/>
      <c r="L102" s="3"/>
      <c r="M102" s="3"/>
    </row>
    <row r="103" spans="1:13">
      <c r="A103" s="3"/>
      <c r="B103" s="4"/>
      <c r="C103" s="8"/>
      <c r="D103" s="8"/>
      <c r="E103" s="1004" t="s">
        <v>94</v>
      </c>
      <c r="F103" s="1004"/>
      <c r="G103" s="270"/>
      <c r="H103" s="1033" t="s">
        <v>22</v>
      </c>
      <c r="I103" s="1033"/>
      <c r="J103" s="1004" t="s">
        <v>23</v>
      </c>
      <c r="K103" s="1004"/>
      <c r="L103" s="1004" t="s">
        <v>24</v>
      </c>
      <c r="M103" s="1004"/>
    </row>
    <row r="104" spans="1:13">
      <c r="A104" s="3"/>
      <c r="B104" s="8" t="s">
        <v>166</v>
      </c>
      <c r="C104" s="8"/>
      <c r="D104" s="8"/>
      <c r="E104" s="1014">
        <f>F83</f>
        <v>17263878.878672</v>
      </c>
      <c r="F104" s="1014"/>
      <c r="G104" s="271"/>
      <c r="H104" s="1014">
        <f>K83</f>
        <v>7753098.1588631757</v>
      </c>
      <c r="I104" s="1014"/>
      <c r="J104" s="1014">
        <f>L83</f>
        <v>1867043.8465869999</v>
      </c>
      <c r="K104" s="1014"/>
      <c r="L104" s="1034">
        <f>H104+J104</f>
        <v>9620142.0054501761</v>
      </c>
      <c r="M104" s="1034"/>
    </row>
    <row r="105" spans="1:13">
      <c r="A105" s="3"/>
      <c r="B105" s="7" t="s">
        <v>167</v>
      </c>
      <c r="C105" s="8"/>
      <c r="D105" s="8"/>
      <c r="E105" s="162"/>
      <c r="F105" s="162"/>
      <c r="G105" s="162"/>
      <c r="H105" s="1011"/>
      <c r="I105" s="1011"/>
      <c r="J105" s="164"/>
      <c r="K105" s="164"/>
      <c r="L105" s="164"/>
      <c r="M105" s="164"/>
    </row>
    <row r="106" spans="1:13">
      <c r="A106" s="3"/>
      <c r="B106" s="7" t="s">
        <v>95</v>
      </c>
      <c r="C106" s="8"/>
      <c r="E106" s="273"/>
      <c r="F106" s="273"/>
      <c r="G106" s="273"/>
      <c r="H106" s="273"/>
      <c r="I106" s="273"/>
      <c r="J106" s="273"/>
      <c r="K106" s="273"/>
      <c r="L106" s="273"/>
      <c r="M106" s="273"/>
    </row>
    <row r="107" spans="1:13">
      <c r="A107" s="274"/>
      <c r="B107" s="7" t="s">
        <v>96</v>
      </c>
      <c r="C107" s="166"/>
      <c r="D107" s="166"/>
      <c r="E107" s="1010"/>
      <c r="F107" s="1010"/>
      <c r="G107" s="275"/>
      <c r="H107" s="1010"/>
      <c r="I107" s="1010"/>
      <c r="J107" s="162"/>
      <c r="K107" s="162"/>
      <c r="L107" s="1010"/>
      <c r="M107" s="1010"/>
    </row>
    <row r="108" spans="1:13">
      <c r="A108" s="274"/>
      <c r="B108" s="8" t="s">
        <v>98</v>
      </c>
      <c r="C108" s="166"/>
      <c r="D108" s="170">
        <v>0.03</v>
      </c>
      <c r="E108" s="1010">
        <f>D108*E104</f>
        <v>517916.36636016</v>
      </c>
      <c r="F108" s="1010"/>
      <c r="G108" s="275"/>
      <c r="H108" s="1022">
        <f>H104*D108</f>
        <v>232592.94476589526</v>
      </c>
      <c r="I108" s="1022"/>
      <c r="J108" s="1022">
        <f>J104*D108</f>
        <v>56011.315397609993</v>
      </c>
      <c r="K108" s="1022"/>
      <c r="L108" s="1034">
        <f>H108+J108</f>
        <v>288604.26016350527</v>
      </c>
      <c r="M108" s="1034"/>
    </row>
    <row r="109" spans="1:13">
      <c r="A109" s="274"/>
      <c r="B109" s="8" t="s">
        <v>97</v>
      </c>
      <c r="C109" s="166"/>
      <c r="D109" s="168">
        <v>0.1</v>
      </c>
      <c r="E109" s="1010">
        <f>D109*E104</f>
        <v>1726387.8878672002</v>
      </c>
      <c r="F109" s="1010"/>
      <c r="G109" s="275"/>
      <c r="H109" s="1022">
        <f>H104*D109</f>
        <v>775309.81588631764</v>
      </c>
      <c r="I109" s="1022"/>
      <c r="J109" s="1022">
        <f>J104*D109</f>
        <v>186704.3846587</v>
      </c>
      <c r="K109" s="1022"/>
      <c r="L109" s="1034">
        <f t="shared" ref="L109:L114" si="24">H109+J109</f>
        <v>962014.20054501761</v>
      </c>
      <c r="M109" s="1034"/>
    </row>
    <row r="110" spans="1:13">
      <c r="A110" s="274"/>
      <c r="B110" s="8" t="s">
        <v>103</v>
      </c>
      <c r="C110" s="166"/>
      <c r="D110" s="168">
        <v>0.18</v>
      </c>
      <c r="E110" s="1010">
        <f>D110*E109</f>
        <v>310749.81981609605</v>
      </c>
      <c r="F110" s="1010"/>
      <c r="G110" s="275"/>
      <c r="H110" s="1022">
        <f>H109*D110</f>
        <v>139555.76685953717</v>
      </c>
      <c r="I110" s="1022"/>
      <c r="J110" s="1022">
        <f>J109*D110</f>
        <v>33606.789238566002</v>
      </c>
      <c r="K110" s="1022"/>
      <c r="L110" s="1034">
        <f t="shared" si="24"/>
        <v>173162.55609810317</v>
      </c>
      <c r="M110" s="1034"/>
    </row>
    <row r="111" spans="1:13">
      <c r="A111" s="274"/>
      <c r="B111" s="8" t="s">
        <v>100</v>
      </c>
      <c r="C111" s="168"/>
      <c r="D111" s="172">
        <v>0.03</v>
      </c>
      <c r="E111" s="1010">
        <f>D111*E104</f>
        <v>517916.36636016</v>
      </c>
      <c r="F111" s="1010"/>
      <c r="G111" s="275"/>
      <c r="H111" s="1022">
        <f>H104*D111</f>
        <v>232592.94476589526</v>
      </c>
      <c r="I111" s="1022"/>
      <c r="J111" s="1022">
        <f>J104*D111</f>
        <v>56011.315397609993</v>
      </c>
      <c r="K111" s="1022"/>
      <c r="L111" s="1034">
        <f t="shared" si="24"/>
        <v>288604.26016350527</v>
      </c>
      <c r="M111" s="1034"/>
    </row>
    <row r="112" spans="1:13">
      <c r="A112" s="274"/>
      <c r="B112" s="8" t="s">
        <v>168</v>
      </c>
      <c r="C112" s="166"/>
      <c r="D112" s="166">
        <v>0.03</v>
      </c>
      <c r="E112" s="1010">
        <f>D112*E104</f>
        <v>517916.36636016</v>
      </c>
      <c r="F112" s="1010"/>
      <c r="G112" s="275"/>
      <c r="H112" s="1022">
        <f>H104*D112</f>
        <v>232592.94476589526</v>
      </c>
      <c r="I112" s="1022"/>
      <c r="J112" s="1022">
        <f>J104*D112</f>
        <v>56011.315397609993</v>
      </c>
      <c r="K112" s="1022"/>
      <c r="L112" s="1034">
        <f t="shared" si="24"/>
        <v>288604.26016350527</v>
      </c>
      <c r="M112" s="1034"/>
    </row>
    <row r="113" spans="1:13">
      <c r="A113" s="274"/>
      <c r="B113" s="8" t="s">
        <v>101</v>
      </c>
      <c r="C113" s="166"/>
      <c r="D113" s="168">
        <v>0.01</v>
      </c>
      <c r="E113" s="1010">
        <f>D113*E104</f>
        <v>172638.78878671999</v>
      </c>
      <c r="F113" s="1010"/>
      <c r="G113" s="275"/>
      <c r="H113" s="1022">
        <f>H104*D113</f>
        <v>77530.981588631752</v>
      </c>
      <c r="I113" s="1022"/>
      <c r="J113" s="1022">
        <f>J104*D113</f>
        <v>18670.43846587</v>
      </c>
      <c r="K113" s="1022"/>
      <c r="L113" s="1034">
        <f t="shared" si="24"/>
        <v>96201.420054501752</v>
      </c>
      <c r="M113" s="1034"/>
    </row>
    <row r="114" spans="1:13">
      <c r="A114" s="274"/>
      <c r="B114" s="8" t="s">
        <v>102</v>
      </c>
      <c r="C114" s="166"/>
      <c r="D114" s="166">
        <v>1E-3</v>
      </c>
      <c r="E114" s="1010">
        <f>D114*E104</f>
        <v>17263.878878672</v>
      </c>
      <c r="F114" s="1010"/>
      <c r="G114" s="275"/>
      <c r="H114" s="1022">
        <f>H104*D114</f>
        <v>7753.0981588631757</v>
      </c>
      <c r="I114" s="1022"/>
      <c r="J114" s="1022">
        <f>J104*D114</f>
        <v>1867.043846587</v>
      </c>
      <c r="K114" s="1022"/>
      <c r="L114" s="1034">
        <f t="shared" si="24"/>
        <v>9620.1420054501759</v>
      </c>
      <c r="M114" s="1034"/>
    </row>
    <row r="115" spans="1:13">
      <c r="A115" s="274"/>
      <c r="B115" s="8"/>
      <c r="C115" s="166"/>
      <c r="D115" s="168"/>
      <c r="E115" s="1010"/>
      <c r="F115" s="1010"/>
      <c r="G115" s="275"/>
      <c r="H115" s="276"/>
      <c r="I115" s="276"/>
      <c r="J115" s="276"/>
      <c r="K115" s="276"/>
      <c r="L115" s="276"/>
      <c r="M115" s="277"/>
    </row>
    <row r="116" spans="1:13">
      <c r="A116" s="274"/>
      <c r="B116" s="8"/>
      <c r="C116" s="278"/>
      <c r="D116" s="168"/>
      <c r="E116" s="1010"/>
      <c r="F116" s="1010"/>
      <c r="G116" s="275"/>
      <c r="H116" s="1035"/>
      <c r="I116" s="1035"/>
      <c r="J116" s="1036"/>
      <c r="K116" s="1036"/>
      <c r="L116" s="1035"/>
      <c r="M116" s="1035"/>
    </row>
    <row r="117" spans="1:13">
      <c r="A117" s="274"/>
      <c r="B117" s="8"/>
      <c r="C117" s="278"/>
      <c r="D117" s="280"/>
      <c r="E117" s="1010"/>
      <c r="F117" s="1010"/>
      <c r="G117" s="275"/>
      <c r="H117" s="279"/>
      <c r="I117" s="279"/>
      <c r="J117" s="190"/>
      <c r="K117" s="190"/>
      <c r="L117" s="279"/>
      <c r="M117" s="279"/>
    </row>
    <row r="118" spans="1:13">
      <c r="A118" s="274"/>
      <c r="B118" s="173" t="s">
        <v>169</v>
      </c>
      <c r="C118" s="168"/>
      <c r="D118" s="1"/>
      <c r="E118" s="1015">
        <f>SUM(E108:F116)</f>
        <v>3780789.4744291687</v>
      </c>
      <c r="F118" s="1015"/>
      <c r="G118" s="275"/>
      <c r="H118" s="279"/>
      <c r="I118" s="279"/>
      <c r="J118" s="190"/>
      <c r="K118" s="190"/>
      <c r="L118" s="279"/>
      <c r="M118" s="279"/>
    </row>
    <row r="119" spans="1:13">
      <c r="A119" s="274"/>
      <c r="B119" s="8"/>
      <c r="C119" s="278"/>
      <c r="D119" s="168"/>
      <c r="E119" s="167"/>
      <c r="F119" s="167"/>
      <c r="G119" s="275"/>
      <c r="H119" s="279"/>
      <c r="I119" s="279"/>
      <c r="J119" s="190"/>
      <c r="K119" s="190"/>
      <c r="L119" s="279"/>
      <c r="M119" s="279"/>
    </row>
    <row r="120" spans="1:13">
      <c r="A120" s="274"/>
      <c r="B120" s="173" t="s">
        <v>170</v>
      </c>
      <c r="E120" s="1015">
        <f>E104+E118</f>
        <v>21044668.353101168</v>
      </c>
      <c r="F120" s="1015"/>
      <c r="G120" s="174"/>
      <c r="H120" s="1015">
        <f>SUM(H108:I119)</f>
        <v>1697928.4967910356</v>
      </c>
      <c r="I120" s="1015"/>
      <c r="J120" s="1014">
        <f>SUM(J108:K119)</f>
        <v>408882.60240255302</v>
      </c>
      <c r="K120" s="1014"/>
      <c r="L120" s="1034">
        <f t="shared" ref="L120" si="25">H120+J120</f>
        <v>2106811.0991935888</v>
      </c>
      <c r="M120" s="1034"/>
    </row>
    <row r="121" spans="1:13">
      <c r="A121" s="274"/>
      <c r="B121" s="173"/>
      <c r="C121" s="168"/>
      <c r="D121" s="1"/>
      <c r="E121" s="161"/>
      <c r="F121" s="161"/>
      <c r="G121" s="174"/>
      <c r="H121" s="161"/>
      <c r="I121" s="161"/>
      <c r="J121" s="159"/>
      <c r="K121" s="159"/>
      <c r="L121" s="272"/>
      <c r="M121" s="272"/>
    </row>
    <row r="122" spans="1:13">
      <c r="A122" s="274"/>
      <c r="B122" s="8"/>
      <c r="C122" s="281"/>
      <c r="D122" s="176"/>
      <c r="E122" s="1035"/>
      <c r="F122" s="1035"/>
      <c r="G122" s="275"/>
      <c r="H122" s="1036"/>
      <c r="I122" s="1036"/>
      <c r="J122" s="1036"/>
      <c r="K122" s="1036"/>
      <c r="L122" s="1035"/>
      <c r="M122" s="1035"/>
    </row>
    <row r="123" spans="1:13">
      <c r="A123" s="274"/>
      <c r="B123" s="179" t="s">
        <v>106</v>
      </c>
      <c r="C123" s="282"/>
      <c r="D123" s="154"/>
      <c r="G123" s="181"/>
      <c r="H123" s="1015">
        <f>H120+H104</f>
        <v>9451026.6556542106</v>
      </c>
      <c r="I123" s="1015"/>
      <c r="J123" s="1014">
        <f>J120+J104</f>
        <v>2275926.4489895529</v>
      </c>
      <c r="K123" s="1014"/>
      <c r="L123" s="1034">
        <f t="shared" ref="L123" si="26">H123+J123</f>
        <v>11726953.104643764</v>
      </c>
      <c r="M123" s="1034"/>
    </row>
    <row r="124" spans="1:13">
      <c r="A124" s="3"/>
      <c r="B124" s="182" t="s">
        <v>107</v>
      </c>
      <c r="C124" s="168"/>
      <c r="E124" s="164"/>
      <c r="F124" s="164"/>
      <c r="G124" s="164"/>
      <c r="H124" s="164"/>
      <c r="I124" s="164"/>
      <c r="J124" s="164"/>
      <c r="K124" s="164"/>
      <c r="L124" s="164"/>
      <c r="M124" s="164"/>
    </row>
    <row r="125" spans="1:13">
      <c r="A125" s="3"/>
      <c r="B125" s="8"/>
      <c r="C125" s="3"/>
      <c r="D125" s="168"/>
      <c r="E125" s="164"/>
      <c r="F125" s="162"/>
      <c r="G125" s="164"/>
      <c r="H125" s="1003"/>
      <c r="I125" s="1003"/>
      <c r="J125" s="1003"/>
      <c r="K125" s="1003"/>
      <c r="L125" s="1003"/>
      <c r="M125" s="1003"/>
    </row>
    <row r="126" spans="1:13">
      <c r="A126" s="3"/>
      <c r="B126" s="7"/>
      <c r="C126" s="154"/>
      <c r="D126" s="166"/>
      <c r="E126" s="164"/>
      <c r="F126" s="164"/>
      <c r="G126" s="164"/>
      <c r="H126" s="1003"/>
      <c r="I126" s="1003"/>
      <c r="J126" s="1003"/>
      <c r="K126" s="1003"/>
      <c r="L126" s="1003"/>
      <c r="M126" s="1003"/>
    </row>
    <row r="127" spans="1:13">
      <c r="A127" s="3"/>
      <c r="B127" s="7" t="s">
        <v>108</v>
      </c>
      <c r="C127" s="154"/>
      <c r="D127" s="186">
        <v>0.2</v>
      </c>
      <c r="E127" s="163"/>
      <c r="F127" s="163"/>
      <c r="G127" s="163"/>
      <c r="H127" s="1010">
        <f>H123*D127</f>
        <v>1890205.3311308422</v>
      </c>
      <c r="I127" s="1010"/>
      <c r="J127" s="1003">
        <f>J123*D127</f>
        <v>455185.28979791061</v>
      </c>
      <c r="K127" s="1003"/>
      <c r="L127" s="1034">
        <f t="shared" ref="L127" si="27">H127+J127</f>
        <v>2345390.6209287527</v>
      </c>
      <c r="M127" s="1034"/>
    </row>
    <row r="128" spans="1:13">
      <c r="A128" s="3"/>
      <c r="E128" s="163"/>
      <c r="F128" s="163"/>
      <c r="G128" s="163"/>
      <c r="H128" s="1010"/>
      <c r="I128" s="1010"/>
      <c r="J128" s="1003"/>
      <c r="K128" s="1003"/>
      <c r="L128" s="1003"/>
      <c r="M128" s="1003"/>
    </row>
    <row r="129" spans="1:13">
      <c r="A129" s="3"/>
      <c r="E129" s="163"/>
      <c r="F129" s="163"/>
      <c r="G129" s="163"/>
      <c r="H129" s="189"/>
      <c r="I129" s="164"/>
      <c r="J129" s="163"/>
      <c r="K129" s="190"/>
      <c r="L129" s="190"/>
      <c r="M129" s="190"/>
    </row>
    <row r="130" spans="1:13">
      <c r="A130" s="3"/>
      <c r="B130" s="1" t="s">
        <v>171</v>
      </c>
      <c r="C130" s="154"/>
      <c r="D130" s="154"/>
      <c r="E130" s="163"/>
      <c r="F130" s="163"/>
      <c r="G130" s="163"/>
      <c r="H130" s="1010">
        <f>H123-H127</f>
        <v>7560821.3245233689</v>
      </c>
      <c r="I130" s="1010"/>
      <c r="J130" s="1037">
        <f>J123-J127</f>
        <v>1820741.1591916424</v>
      </c>
      <c r="K130" s="1037"/>
      <c r="L130" s="1034">
        <f t="shared" ref="L130" si="28">H130+J130</f>
        <v>9381562.4837150108</v>
      </c>
      <c r="M130" s="1034"/>
    </row>
    <row r="131" spans="1:13">
      <c r="A131" s="3"/>
      <c r="B131" s="7"/>
      <c r="C131" s="154"/>
      <c r="D131" s="154"/>
      <c r="E131" s="154"/>
      <c r="F131" s="154"/>
      <c r="G131" s="154"/>
      <c r="H131" s="283"/>
      <c r="I131" s="284"/>
      <c r="J131" s="285"/>
      <c r="K131" s="286"/>
      <c r="L131" s="286"/>
      <c r="M131" s="287"/>
    </row>
    <row r="132" spans="1:13">
      <c r="A132" s="1"/>
      <c r="B132" s="1" t="s">
        <v>110</v>
      </c>
      <c r="C132" s="8"/>
      <c r="D132" s="8"/>
      <c r="E132" s="1004" t="s">
        <v>111</v>
      </c>
      <c r="F132" s="1004"/>
      <c r="G132" s="8"/>
      <c r="H132" s="1024" t="s">
        <v>11</v>
      </c>
      <c r="I132" s="1024"/>
      <c r="J132" s="8"/>
      <c r="K132" s="1004" t="s">
        <v>112</v>
      </c>
      <c r="L132" s="1004"/>
      <c r="M132" s="1004"/>
    </row>
    <row r="133" spans="1:13" ht="14.45" customHeight="1">
      <c r="A133" s="1"/>
      <c r="B133" s="1" t="s">
        <v>113</v>
      </c>
      <c r="C133" s="1"/>
      <c r="D133" s="1"/>
      <c r="E133" s="1004" t="s">
        <v>114</v>
      </c>
      <c r="F133" s="1004"/>
      <c r="G133" s="1038" t="s">
        <v>172</v>
      </c>
      <c r="H133" s="1038"/>
      <c r="I133" s="1038"/>
      <c r="J133" s="1038"/>
      <c r="K133" s="289" t="s">
        <v>173</v>
      </c>
      <c r="L133" s="289"/>
      <c r="M133" s="290"/>
    </row>
    <row r="134" spans="1:13">
      <c r="A134" s="1"/>
      <c r="B134" s="1004" t="s">
        <v>117</v>
      </c>
      <c r="C134" s="1004"/>
      <c r="D134" s="1"/>
      <c r="E134" s="1004" t="s">
        <v>174</v>
      </c>
      <c r="F134" s="1004"/>
      <c r="G134" s="1"/>
      <c r="H134" s="1"/>
      <c r="I134" s="1"/>
      <c r="J134" s="1"/>
      <c r="K134" s="1004" t="s">
        <v>119</v>
      </c>
      <c r="L134" s="1004"/>
      <c r="M134" s="1004"/>
    </row>
    <row r="135" spans="1:1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54"/>
    </row>
  </sheetData>
  <mergeCells count="90">
    <mergeCell ref="B134:C134"/>
    <mergeCell ref="E134:F134"/>
    <mergeCell ref="K134:M134"/>
    <mergeCell ref="H128:I128"/>
    <mergeCell ref="J128:K128"/>
    <mergeCell ref="L128:M128"/>
    <mergeCell ref="H130:I130"/>
    <mergeCell ref="J130:K130"/>
    <mergeCell ref="L130:M130"/>
    <mergeCell ref="E132:F132"/>
    <mergeCell ref="H132:I132"/>
    <mergeCell ref="K132:M132"/>
    <mergeCell ref="E133:F133"/>
    <mergeCell ref="G133:J133"/>
    <mergeCell ref="H126:I126"/>
    <mergeCell ref="J126:K126"/>
    <mergeCell ref="L126:M126"/>
    <mergeCell ref="H127:I127"/>
    <mergeCell ref="J127:K127"/>
    <mergeCell ref="L127:M127"/>
    <mergeCell ref="H123:I123"/>
    <mergeCell ref="J123:K123"/>
    <mergeCell ref="L123:M123"/>
    <mergeCell ref="H125:I125"/>
    <mergeCell ref="J125:K125"/>
    <mergeCell ref="L125:M125"/>
    <mergeCell ref="E122:F122"/>
    <mergeCell ref="H122:I122"/>
    <mergeCell ref="J122:K122"/>
    <mergeCell ref="L122:M122"/>
    <mergeCell ref="E115:F115"/>
    <mergeCell ref="E116:F116"/>
    <mergeCell ref="H116:I116"/>
    <mergeCell ref="J116:K116"/>
    <mergeCell ref="L116:M116"/>
    <mergeCell ref="E117:F117"/>
    <mergeCell ref="E118:F118"/>
    <mergeCell ref="E120:F120"/>
    <mergeCell ref="H120:I120"/>
    <mergeCell ref="J120:K120"/>
    <mergeCell ref="L120:M120"/>
    <mergeCell ref="E113:F113"/>
    <mergeCell ref="H113:I113"/>
    <mergeCell ref="J113:K113"/>
    <mergeCell ref="L113:M113"/>
    <mergeCell ref="E114:F114"/>
    <mergeCell ref="H114:I114"/>
    <mergeCell ref="J114:K114"/>
    <mergeCell ref="L114:M114"/>
    <mergeCell ref="E111:F111"/>
    <mergeCell ref="H111:I111"/>
    <mergeCell ref="J111:K111"/>
    <mergeCell ref="L111:M111"/>
    <mergeCell ref="E112:F112"/>
    <mergeCell ref="H112:I112"/>
    <mergeCell ref="J112:K112"/>
    <mergeCell ref="L112:M112"/>
    <mergeCell ref="E109:F109"/>
    <mergeCell ref="H109:I109"/>
    <mergeCell ref="J109:K109"/>
    <mergeCell ref="L109:M109"/>
    <mergeCell ref="E110:F110"/>
    <mergeCell ref="H110:I110"/>
    <mergeCell ref="J110:K110"/>
    <mergeCell ref="L110:M110"/>
    <mergeCell ref="E107:F107"/>
    <mergeCell ref="H107:I107"/>
    <mergeCell ref="L107:M107"/>
    <mergeCell ref="E108:F108"/>
    <mergeCell ref="H108:I108"/>
    <mergeCell ref="J108:K108"/>
    <mergeCell ref="L108:M108"/>
    <mergeCell ref="L103:M103"/>
    <mergeCell ref="E104:F104"/>
    <mergeCell ref="H104:I104"/>
    <mergeCell ref="J104:K104"/>
    <mergeCell ref="L104:M104"/>
    <mergeCell ref="H105:I105"/>
    <mergeCell ref="B97:K97"/>
    <mergeCell ref="B98:K98"/>
    <mergeCell ref="C99:I99"/>
    <mergeCell ref="E103:F103"/>
    <mergeCell ref="H103:I103"/>
    <mergeCell ref="J103:K103"/>
    <mergeCell ref="A2:M2"/>
    <mergeCell ref="A3:M3"/>
    <mergeCell ref="C5:I5"/>
    <mergeCell ref="A9:F9"/>
    <mergeCell ref="G9:J9"/>
    <mergeCell ref="K9:M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C43D2-DA94-46BC-A336-DAA78FEC48AD}">
  <dimension ref="A2:M139"/>
  <sheetViews>
    <sheetView workbookViewId="0">
      <selection activeCell="G59" sqref="G59"/>
    </sheetView>
  </sheetViews>
  <sheetFormatPr baseColWidth="10" defaultRowHeight="15"/>
  <cols>
    <col min="2" max="2" width="35.42578125" bestFit="1" customWidth="1"/>
    <col min="4" max="4" width="11.140625" bestFit="1" customWidth="1"/>
    <col min="5" max="5" width="18.140625" customWidth="1"/>
    <col min="6" max="6" width="19.140625" customWidth="1"/>
    <col min="8" max="8" width="10.140625" bestFit="1" customWidth="1"/>
    <col min="9" max="9" width="11.85546875" bestFit="1" customWidth="1"/>
    <col min="13" max="13" width="19.42578125" customWidth="1"/>
  </cols>
  <sheetData>
    <row r="2" spans="1:13">
      <c r="A2" s="1025" t="s">
        <v>0</v>
      </c>
      <c r="B2" s="1026"/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7"/>
    </row>
    <row r="3" spans="1:13">
      <c r="A3" s="1028" t="s">
        <v>1</v>
      </c>
      <c r="B3" s="1005"/>
      <c r="C3" s="1005"/>
      <c r="D3" s="1005"/>
      <c r="E3" s="1005"/>
      <c r="F3" s="1005"/>
      <c r="G3" s="1005"/>
      <c r="H3" s="1005"/>
      <c r="I3" s="1005"/>
      <c r="J3" s="1005"/>
      <c r="K3" s="1005"/>
      <c r="L3" s="1005"/>
      <c r="M3" s="1029"/>
    </row>
    <row r="4" spans="1:13">
      <c r="A4" s="193"/>
      <c r="C4" s="2"/>
      <c r="D4" s="2"/>
      <c r="E4" s="2"/>
      <c r="F4" s="2"/>
      <c r="G4" s="2"/>
      <c r="H4" s="2"/>
      <c r="I4" s="2"/>
      <c r="J4" s="2"/>
      <c r="K4" s="2"/>
      <c r="L4" s="2"/>
      <c r="M4" s="194" t="s">
        <v>120</v>
      </c>
    </row>
    <row r="5" spans="1:13">
      <c r="A5" s="195"/>
      <c r="B5" s="4" t="s">
        <v>2</v>
      </c>
      <c r="C5" s="1006" t="s">
        <v>121</v>
      </c>
      <c r="D5" s="1006"/>
      <c r="E5" s="1006"/>
      <c r="F5" s="1006"/>
      <c r="G5" s="1006"/>
      <c r="H5" s="1006"/>
      <c r="I5" s="1006"/>
      <c r="J5" s="3"/>
      <c r="K5" s="3"/>
      <c r="L5" s="4" t="s">
        <v>122</v>
      </c>
      <c r="M5" s="6">
        <v>21044668.350000001</v>
      </c>
    </row>
    <row r="6" spans="1:13">
      <c r="A6" s="195"/>
      <c r="B6" s="4" t="s">
        <v>5</v>
      </c>
      <c r="C6" s="7">
        <v>3</v>
      </c>
      <c r="D6" s="3"/>
      <c r="E6" s="8"/>
      <c r="F6" s="8"/>
      <c r="G6" s="8"/>
      <c r="H6" s="3"/>
      <c r="I6" s="3"/>
      <c r="J6" s="3"/>
      <c r="K6" s="3"/>
      <c r="L6" s="4" t="s">
        <v>6</v>
      </c>
      <c r="M6" s="196">
        <v>2645359.2999999998</v>
      </c>
    </row>
    <row r="7" spans="1:13">
      <c r="A7" s="195"/>
      <c r="B7" s="4" t="s">
        <v>7</v>
      </c>
      <c r="C7" s="8" t="s">
        <v>175</v>
      </c>
      <c r="D7" s="8"/>
      <c r="E7" s="8"/>
      <c r="F7" s="8" t="s">
        <v>124</v>
      </c>
      <c r="G7" s="11"/>
      <c r="H7" s="3"/>
      <c r="I7" s="3"/>
      <c r="J7" s="3"/>
      <c r="K7" s="3"/>
      <c r="L7" s="4" t="s">
        <v>9</v>
      </c>
      <c r="M7" s="197" t="s">
        <v>125</v>
      </c>
    </row>
    <row r="8" spans="1:13">
      <c r="A8" s="195"/>
      <c r="B8" s="4" t="s">
        <v>11</v>
      </c>
      <c r="C8" s="8" t="s">
        <v>126</v>
      </c>
      <c r="D8" s="8"/>
      <c r="E8" s="8"/>
      <c r="F8" s="8"/>
      <c r="H8" s="3"/>
      <c r="I8" s="3"/>
      <c r="J8" s="3"/>
      <c r="K8" s="3"/>
      <c r="L8" s="3"/>
      <c r="M8" s="198"/>
    </row>
    <row r="9" spans="1:13">
      <c r="A9" s="1007" t="s">
        <v>13</v>
      </c>
      <c r="B9" s="1007"/>
      <c r="C9" s="1007"/>
      <c r="D9" s="1007"/>
      <c r="E9" s="1007"/>
      <c r="F9" s="1007"/>
      <c r="G9" s="1030" t="s">
        <v>14</v>
      </c>
      <c r="H9" s="1030"/>
      <c r="I9" s="1030"/>
      <c r="J9" s="1030"/>
      <c r="K9" s="1031" t="s">
        <v>15</v>
      </c>
      <c r="L9" s="1031"/>
      <c r="M9" s="1031"/>
    </row>
    <row r="10" spans="1:13">
      <c r="A10" s="14" t="s">
        <v>16</v>
      </c>
      <c r="B10" s="15" t="s">
        <v>17</v>
      </c>
      <c r="C10" s="15" t="s">
        <v>18</v>
      </c>
      <c r="D10" s="15" t="s">
        <v>19</v>
      </c>
      <c r="E10" s="16" t="s">
        <v>20</v>
      </c>
      <c r="F10" s="16" t="s">
        <v>21</v>
      </c>
      <c r="G10" s="199" t="s">
        <v>22</v>
      </c>
      <c r="H10" s="199" t="s">
        <v>23</v>
      </c>
      <c r="I10" s="200" t="s">
        <v>24</v>
      </c>
      <c r="J10" s="201" t="s">
        <v>25</v>
      </c>
      <c r="K10" s="15" t="s">
        <v>22</v>
      </c>
      <c r="L10" s="16" t="s">
        <v>23</v>
      </c>
      <c r="M10" s="16" t="s">
        <v>24</v>
      </c>
    </row>
    <row r="11" spans="1:13">
      <c r="A11" s="291">
        <v>1</v>
      </c>
      <c r="B11" s="292" t="s">
        <v>28</v>
      </c>
      <c r="C11" s="293"/>
      <c r="D11" s="293"/>
      <c r="E11" s="294"/>
      <c r="F11" s="294"/>
      <c r="G11" s="199"/>
      <c r="H11" s="199"/>
      <c r="I11" s="200"/>
      <c r="J11" s="201"/>
      <c r="K11" s="204"/>
      <c r="L11" s="205"/>
      <c r="M11" s="205"/>
    </row>
    <row r="12" spans="1:13">
      <c r="A12" s="295">
        <f>A11+0.01</f>
        <v>1.01</v>
      </c>
      <c r="B12" s="296" t="s">
        <v>127</v>
      </c>
      <c r="C12" s="297" t="s">
        <v>128</v>
      </c>
      <c r="D12" s="298">
        <v>2</v>
      </c>
      <c r="E12" s="299">
        <v>30000</v>
      </c>
      <c r="F12" s="300">
        <f>D12*E12</f>
        <v>60000</v>
      </c>
      <c r="G12" s="212">
        <v>2</v>
      </c>
      <c r="H12" s="212"/>
      <c r="I12" s="213">
        <f t="shared" ref="I12:I13" si="0">G12+H12</f>
        <v>2</v>
      </c>
      <c r="J12" s="214">
        <f t="shared" ref="J12:J13" si="1">I12/D12</f>
        <v>1</v>
      </c>
      <c r="K12" s="215">
        <f>G12*E12</f>
        <v>60000</v>
      </c>
      <c r="L12" s="205"/>
      <c r="M12" s="216">
        <f t="shared" ref="M12:M16" si="2">K12+L12</f>
        <v>60000</v>
      </c>
    </row>
    <row r="13" spans="1:13">
      <c r="A13" s="295">
        <f t="shared" ref="A13:A16" si="3">A12+0.01</f>
        <v>1.02</v>
      </c>
      <c r="B13" s="296" t="s">
        <v>129</v>
      </c>
      <c r="C13" s="297" t="s">
        <v>130</v>
      </c>
      <c r="D13" s="298">
        <v>1156</v>
      </c>
      <c r="E13" s="299">
        <v>38.92</v>
      </c>
      <c r="F13" s="300">
        <f t="shared" ref="F13:F15" si="4">D13*E13</f>
        <v>44991.520000000004</v>
      </c>
      <c r="G13" s="212">
        <v>1156</v>
      </c>
      <c r="H13" s="212"/>
      <c r="I13" s="213">
        <f t="shared" si="0"/>
        <v>1156</v>
      </c>
      <c r="J13" s="214">
        <f t="shared" si="1"/>
        <v>1</v>
      </c>
      <c r="K13" s="215">
        <f>G13*E13</f>
        <v>44991.520000000004</v>
      </c>
      <c r="L13" s="217">
        <f>H13*E13</f>
        <v>0</v>
      </c>
      <c r="M13" s="216">
        <f t="shared" si="2"/>
        <v>44991.520000000004</v>
      </c>
    </row>
    <row r="14" spans="1:13">
      <c r="A14" s="295">
        <f t="shared" si="3"/>
        <v>1.03</v>
      </c>
      <c r="B14" s="296" t="s">
        <v>131</v>
      </c>
      <c r="C14" s="297" t="s">
        <v>130</v>
      </c>
      <c r="D14" s="298">
        <v>750</v>
      </c>
      <c r="E14" s="299">
        <v>120</v>
      </c>
      <c r="F14" s="300">
        <f t="shared" si="4"/>
        <v>90000</v>
      </c>
      <c r="G14" s="212">
        <v>750</v>
      </c>
      <c r="H14" s="212"/>
      <c r="I14" s="213">
        <f>G14+H14</f>
        <v>750</v>
      </c>
      <c r="J14" s="214">
        <f>I14/D14</f>
        <v>1</v>
      </c>
      <c r="K14" s="215">
        <f>G14*E14</f>
        <v>90000</v>
      </c>
      <c r="L14" s="217">
        <f>H14*E14</f>
        <v>0</v>
      </c>
      <c r="M14" s="216">
        <f t="shared" si="2"/>
        <v>90000</v>
      </c>
    </row>
    <row r="15" spans="1:13">
      <c r="A15" s="295">
        <f t="shared" si="3"/>
        <v>1.04</v>
      </c>
      <c r="B15" s="296" t="s">
        <v>132</v>
      </c>
      <c r="C15" s="297" t="s">
        <v>130</v>
      </c>
      <c r="D15" s="298">
        <v>1156</v>
      </c>
      <c r="E15" s="299">
        <v>76.069999999999993</v>
      </c>
      <c r="F15" s="300">
        <f t="shared" si="4"/>
        <v>87936.92</v>
      </c>
      <c r="G15" s="219">
        <v>1156</v>
      </c>
      <c r="H15" s="219"/>
      <c r="I15" s="220">
        <f>G15+H15</f>
        <v>1156</v>
      </c>
      <c r="J15" s="214">
        <f>I15/D15</f>
        <v>1</v>
      </c>
      <c r="K15" s="215">
        <f>G15*E15</f>
        <v>87936.92</v>
      </c>
      <c r="L15" s="217">
        <f>H15*E15</f>
        <v>0</v>
      </c>
      <c r="M15" s="216">
        <f t="shared" si="2"/>
        <v>87936.92</v>
      </c>
    </row>
    <row r="16" spans="1:13">
      <c r="A16" s="295">
        <f t="shared" si="3"/>
        <v>1.05</v>
      </c>
      <c r="B16" s="301" t="s">
        <v>133</v>
      </c>
      <c r="C16" s="293"/>
      <c r="D16" s="302"/>
      <c r="E16" s="294"/>
      <c r="F16" s="294">
        <f>SUM(F12:F15)</f>
        <v>282928.44</v>
      </c>
      <c r="G16" s="212"/>
      <c r="H16" s="212"/>
      <c r="I16" s="225"/>
      <c r="J16" s="226"/>
      <c r="K16" s="227">
        <f>SUM(K12:K15)</f>
        <v>282928.44</v>
      </c>
      <c r="L16" s="205"/>
      <c r="M16" s="216">
        <f t="shared" si="2"/>
        <v>282928.44</v>
      </c>
    </row>
    <row r="17" spans="1:13">
      <c r="A17" s="291">
        <v>2</v>
      </c>
      <c r="B17" s="292" t="s">
        <v>134</v>
      </c>
      <c r="C17" s="293"/>
      <c r="D17" s="302"/>
      <c r="E17" s="294"/>
      <c r="F17" s="294"/>
      <c r="G17" s="212"/>
      <c r="H17" s="212"/>
      <c r="I17" s="225"/>
      <c r="J17" s="226"/>
      <c r="K17" s="218"/>
      <c r="L17" s="205"/>
      <c r="M17" s="205"/>
    </row>
    <row r="18" spans="1:13">
      <c r="A18" s="295">
        <f>A17+0.01</f>
        <v>2.0099999999999998</v>
      </c>
      <c r="B18" s="296" t="s">
        <v>135</v>
      </c>
      <c r="C18" s="297" t="s">
        <v>128</v>
      </c>
      <c r="D18" s="298">
        <v>3</v>
      </c>
      <c r="E18" s="299">
        <v>739860</v>
      </c>
      <c r="F18" s="300">
        <f t="shared" ref="F18" si="5">D18*E18</f>
        <v>2219580</v>
      </c>
      <c r="G18" s="212">
        <v>2</v>
      </c>
      <c r="H18" s="212">
        <v>1</v>
      </c>
      <c r="I18" s="220">
        <f>G18+H18</f>
        <v>3</v>
      </c>
      <c r="J18" s="214">
        <f>I18/D18</f>
        <v>1</v>
      </c>
      <c r="K18" s="215">
        <f>G18*E18</f>
        <v>1479720</v>
      </c>
      <c r="L18" s="217">
        <f>H18*E18</f>
        <v>739860</v>
      </c>
      <c r="M18" s="216">
        <f t="shared" ref="M18:M19" si="6">K18+L18</f>
        <v>2219580</v>
      </c>
    </row>
    <row r="19" spans="1:13">
      <c r="A19" s="295"/>
      <c r="B19" s="301" t="s">
        <v>133</v>
      </c>
      <c r="C19" s="297"/>
      <c r="D19" s="298"/>
      <c r="E19" s="299"/>
      <c r="F19" s="303">
        <f>SUM(F18)</f>
        <v>2219580</v>
      </c>
      <c r="G19" s="212"/>
      <c r="H19" s="212"/>
      <c r="I19" s="225"/>
      <c r="J19" s="226"/>
      <c r="K19" s="227">
        <f>SUM(K18)</f>
        <v>1479720</v>
      </c>
      <c r="L19" s="205">
        <f>SUM(L18)</f>
        <v>739860</v>
      </c>
      <c r="M19" s="231">
        <f t="shared" si="6"/>
        <v>2219580</v>
      </c>
    </row>
    <row r="20" spans="1:13">
      <c r="A20" s="291">
        <v>3</v>
      </c>
      <c r="B20" s="292" t="s">
        <v>136</v>
      </c>
      <c r="C20" s="297"/>
      <c r="D20" s="298"/>
      <c r="E20" s="299"/>
      <c r="F20" s="300"/>
      <c r="G20" s="212"/>
      <c r="H20" s="212"/>
      <c r="I20" s="225"/>
      <c r="J20" s="226"/>
      <c r="K20" s="218"/>
      <c r="L20" s="205"/>
      <c r="M20" s="205"/>
    </row>
    <row r="21" spans="1:13">
      <c r="A21" s="295">
        <f>A20+0.01</f>
        <v>3.01</v>
      </c>
      <c r="B21" s="296" t="s">
        <v>137</v>
      </c>
      <c r="C21" s="297" t="s">
        <v>130</v>
      </c>
      <c r="D21" s="298">
        <v>1108.8</v>
      </c>
      <c r="E21" s="304">
        <v>9493.9639999999999</v>
      </c>
      <c r="F21" s="300">
        <f t="shared" ref="F21" si="7">D21*E21</f>
        <v>10526907.283199999</v>
      </c>
      <c r="G21" s="233">
        <v>780.46637899999996</v>
      </c>
      <c r="H21" s="212">
        <v>208</v>
      </c>
      <c r="I21" s="220">
        <f>G21+H21</f>
        <v>988.46637899999996</v>
      </c>
      <c r="J21" s="214">
        <f>I21/D21</f>
        <v>0.89147400703463209</v>
      </c>
      <c r="K21" s="215">
        <f>G21*E21</f>
        <v>7409719.7054363554</v>
      </c>
      <c r="L21" s="217">
        <f>H21*E21</f>
        <v>1974744.5120000001</v>
      </c>
      <c r="M21" s="216">
        <f t="shared" ref="M21:M22" si="8">K21+L21</f>
        <v>9384464.2174363546</v>
      </c>
    </row>
    <row r="22" spans="1:13">
      <c r="A22" s="295"/>
      <c r="B22" s="301" t="s">
        <v>133</v>
      </c>
      <c r="C22" s="297"/>
      <c r="D22" s="298"/>
      <c r="E22" s="299"/>
      <c r="F22" s="303">
        <f>SUM(F21)</f>
        <v>10526907.283199999</v>
      </c>
      <c r="G22" s="212"/>
      <c r="H22" s="212"/>
      <c r="I22" s="225"/>
      <c r="J22" s="226"/>
      <c r="K22" s="227">
        <f>SUM(K21)</f>
        <v>7409719.7054363554</v>
      </c>
      <c r="L22" s="205">
        <f>SUM(L21)</f>
        <v>1974744.5120000001</v>
      </c>
      <c r="M22" s="231">
        <f t="shared" si="8"/>
        <v>9384464.2174363546</v>
      </c>
    </row>
    <row r="23" spans="1:13">
      <c r="A23" s="291">
        <v>4</v>
      </c>
      <c r="B23" s="292" t="s">
        <v>138</v>
      </c>
      <c r="C23" s="293"/>
      <c r="D23" s="293"/>
      <c r="E23" s="294"/>
      <c r="F23" s="294"/>
      <c r="G23" s="212"/>
      <c r="H23" s="212"/>
      <c r="I23" s="225"/>
      <c r="J23" s="226"/>
      <c r="K23" s="218"/>
      <c r="L23" s="205"/>
      <c r="M23" s="205"/>
    </row>
    <row r="24" spans="1:13">
      <c r="A24" s="295">
        <f>A23+0.01</f>
        <v>4.01</v>
      </c>
      <c r="B24" s="296" t="s">
        <v>139</v>
      </c>
      <c r="C24" s="297" t="s">
        <v>130</v>
      </c>
      <c r="D24" s="305">
        <v>1056</v>
      </c>
      <c r="E24" s="299">
        <v>164.19</v>
      </c>
      <c r="F24" s="300">
        <f t="shared" ref="F24" si="9">D24*E24</f>
        <v>173384.63999999998</v>
      </c>
      <c r="G24" s="233">
        <v>380.96534600000001</v>
      </c>
      <c r="H24" s="212">
        <v>616.73</v>
      </c>
      <c r="I24" s="220">
        <f>G24+H24</f>
        <v>997.69534599999997</v>
      </c>
      <c r="J24" s="214">
        <f>I24/D24</f>
        <v>0.94478725946969699</v>
      </c>
      <c r="K24" s="215">
        <f>G24*E24</f>
        <v>62550.700159740001</v>
      </c>
      <c r="L24" s="217">
        <f>H24*E24</f>
        <v>101260.89870000001</v>
      </c>
      <c r="M24" s="216">
        <f t="shared" ref="M24:M25" si="10">K24+L24</f>
        <v>163811.59885974001</v>
      </c>
    </row>
    <row r="25" spans="1:13">
      <c r="A25" s="295"/>
      <c r="B25" s="301" t="s">
        <v>133</v>
      </c>
      <c r="C25" s="293"/>
      <c r="D25" s="293"/>
      <c r="E25" s="294"/>
      <c r="F25" s="294">
        <f>SUM(F24)</f>
        <v>173384.63999999998</v>
      </c>
      <c r="G25" s="212"/>
      <c r="H25" s="212"/>
      <c r="I25" s="225"/>
      <c r="J25" s="226"/>
      <c r="K25" s="227">
        <f>SUM(K24)</f>
        <v>62550.700159740001</v>
      </c>
      <c r="L25" s="205">
        <f>SUM(L24)</f>
        <v>101260.89870000001</v>
      </c>
      <c r="M25" s="231">
        <f t="shared" si="10"/>
        <v>163811.59885974001</v>
      </c>
    </row>
    <row r="26" spans="1:13">
      <c r="A26" s="295"/>
      <c r="B26" s="301"/>
      <c r="C26" s="293"/>
      <c r="D26" s="293"/>
      <c r="E26" s="294"/>
      <c r="F26" s="294"/>
      <c r="G26" s="212"/>
      <c r="H26" s="212"/>
      <c r="I26" s="225"/>
      <c r="J26" s="226"/>
      <c r="K26" s="218"/>
      <c r="L26" s="205"/>
      <c r="M26" s="205"/>
    </row>
    <row r="27" spans="1:13">
      <c r="A27" s="291">
        <v>5</v>
      </c>
      <c r="B27" s="306" t="s">
        <v>140</v>
      </c>
      <c r="C27" s="293"/>
      <c r="D27" s="293"/>
      <c r="E27" s="294"/>
      <c r="F27" s="294"/>
      <c r="G27" s="212"/>
      <c r="H27" s="212"/>
      <c r="I27" s="225"/>
      <c r="J27" s="226"/>
      <c r="K27" s="218"/>
      <c r="L27" s="205"/>
      <c r="M27" s="205"/>
    </row>
    <row r="28" spans="1:13">
      <c r="A28" s="295">
        <f>A27+0.01</f>
        <v>5.01</v>
      </c>
      <c r="B28" s="307" t="s">
        <v>141</v>
      </c>
      <c r="C28" s="305" t="s">
        <v>38</v>
      </c>
      <c r="D28" s="308">
        <v>1077.1199999999999</v>
      </c>
      <c r="E28" s="299">
        <v>212.89</v>
      </c>
      <c r="F28" s="300">
        <f t="shared" ref="F28:F31" si="11">D28*E28</f>
        <v>229308.07679999995</v>
      </c>
      <c r="G28" s="239">
        <v>711.84235999999999</v>
      </c>
      <c r="H28" s="212">
        <f>H21*0.8*1.3</f>
        <v>216.32000000000002</v>
      </c>
      <c r="I28" s="220">
        <f>G28+H28</f>
        <v>928.16236000000004</v>
      </c>
      <c r="J28" s="214">
        <f>I28/D28</f>
        <v>0.86170747920380286</v>
      </c>
      <c r="K28" s="215">
        <f>G28*E28</f>
        <v>151544.12002039998</v>
      </c>
      <c r="L28" s="217">
        <f>H28*E28</f>
        <v>46052.364800000003</v>
      </c>
      <c r="M28" s="216">
        <f t="shared" ref="M28:M32" si="12">K28+L28</f>
        <v>197596.48482039999</v>
      </c>
    </row>
    <row r="29" spans="1:13">
      <c r="A29" s="295">
        <f t="shared" ref="A29:A31" si="13">A28+0.01</f>
        <v>5.0199999999999996</v>
      </c>
      <c r="B29" s="307" t="s">
        <v>142</v>
      </c>
      <c r="C29" s="305" t="s">
        <v>38</v>
      </c>
      <c r="D29" s="308">
        <v>85.679999999999993</v>
      </c>
      <c r="E29" s="299">
        <v>2281.48</v>
      </c>
      <c r="F29" s="300">
        <f t="shared" si="11"/>
        <v>195477.2064</v>
      </c>
      <c r="G29" s="212">
        <v>43.217560499999998</v>
      </c>
      <c r="H29" s="212">
        <f>H21*0.8*0.1</f>
        <v>16.64</v>
      </c>
      <c r="I29" s="220">
        <f>G29+H29</f>
        <v>59.857560499999998</v>
      </c>
      <c r="J29" s="214">
        <f>I29/D29</f>
        <v>0.69861765289449118</v>
      </c>
      <c r="K29" s="215">
        <f>G29*E29</f>
        <v>98599.99992953999</v>
      </c>
      <c r="L29" s="217">
        <f t="shared" ref="L29:L31" si="14">H29*E29</f>
        <v>37963.8272</v>
      </c>
      <c r="M29" s="216">
        <f t="shared" si="12"/>
        <v>136563.82712953998</v>
      </c>
    </row>
    <row r="30" spans="1:13">
      <c r="A30" s="295">
        <f t="shared" si="13"/>
        <v>5.0299999999999994</v>
      </c>
      <c r="B30" s="296" t="s">
        <v>143</v>
      </c>
      <c r="C30" s="305" t="s">
        <v>38</v>
      </c>
      <c r="D30" s="308">
        <v>175.82759999999993</v>
      </c>
      <c r="E30" s="299">
        <v>268.02</v>
      </c>
      <c r="F30" s="300">
        <f t="shared" si="11"/>
        <v>47125.313351999976</v>
      </c>
      <c r="G30" s="233">
        <v>110.477912</v>
      </c>
      <c r="H30" s="212">
        <v>35</v>
      </c>
      <c r="I30" s="220">
        <f>G30+H30</f>
        <v>145.477912</v>
      </c>
      <c r="J30" s="214">
        <f>I30/D30</f>
        <v>0.82738951108927183</v>
      </c>
      <c r="K30" s="215">
        <f>G30*E30</f>
        <v>29610.28997424</v>
      </c>
      <c r="L30" s="217">
        <f t="shared" si="14"/>
        <v>9380.6999999999989</v>
      </c>
      <c r="M30" s="216">
        <f t="shared" si="12"/>
        <v>38990.989974240001</v>
      </c>
    </row>
    <row r="31" spans="1:13">
      <c r="A31" s="295">
        <f t="shared" si="13"/>
        <v>5.0399999999999991</v>
      </c>
      <c r="B31" s="296" t="s">
        <v>144</v>
      </c>
      <c r="C31" s="305" t="s">
        <v>38</v>
      </c>
      <c r="D31" s="308">
        <v>941.86799999999994</v>
      </c>
      <c r="E31" s="299">
        <v>183.19</v>
      </c>
      <c r="F31" s="300">
        <f t="shared" si="11"/>
        <v>172540.79891999997</v>
      </c>
      <c r="G31" s="212">
        <v>575.73420999999996</v>
      </c>
      <c r="H31" s="212">
        <f>'[1]CUB.1'!H25-'[1]cub.2 '!G34</f>
        <v>268.01579000000004</v>
      </c>
      <c r="I31" s="220">
        <f>G31+H31</f>
        <v>843.75</v>
      </c>
      <c r="J31" s="214">
        <f>I31/D31</f>
        <v>0.89582616672399962</v>
      </c>
      <c r="K31" s="215">
        <f>G31*E31</f>
        <v>105468.74992989999</v>
      </c>
      <c r="L31" s="217">
        <f t="shared" si="14"/>
        <v>49097.81257010001</v>
      </c>
      <c r="M31" s="216">
        <f t="shared" si="12"/>
        <v>154566.5625</v>
      </c>
    </row>
    <row r="32" spans="1:13">
      <c r="A32" s="295"/>
      <c r="B32" s="301" t="s">
        <v>133</v>
      </c>
      <c r="C32" s="293"/>
      <c r="D32" s="293"/>
      <c r="E32" s="294"/>
      <c r="F32" s="294">
        <f>SUM(F28:F31)</f>
        <v>644451.39547199989</v>
      </c>
      <c r="G32" s="199"/>
      <c r="H32" s="199"/>
      <c r="I32" s="200"/>
      <c r="J32" s="201"/>
      <c r="K32" s="227">
        <f>SUM(K28:K31)</f>
        <v>385223.15985407995</v>
      </c>
      <c r="L32" s="205">
        <f>SUM(L28:L31)</f>
        <v>142494.7045701</v>
      </c>
      <c r="M32" s="231">
        <f t="shared" si="12"/>
        <v>527717.86442418001</v>
      </c>
    </row>
    <row r="33" spans="1:13">
      <c r="A33" s="291">
        <v>6</v>
      </c>
      <c r="B33" s="309" t="s">
        <v>145</v>
      </c>
      <c r="C33" s="293"/>
      <c r="D33" s="293"/>
      <c r="E33" s="294"/>
      <c r="F33" s="294"/>
      <c r="G33" s="199"/>
      <c r="H33" s="199"/>
      <c r="I33" s="200"/>
      <c r="J33" s="201"/>
      <c r="K33" s="204"/>
      <c r="L33" s="205"/>
      <c r="M33" s="205"/>
    </row>
    <row r="34" spans="1:13">
      <c r="A34" s="295">
        <f>A33+0.01</f>
        <v>6.01</v>
      </c>
      <c r="B34" s="310" t="s">
        <v>146</v>
      </c>
      <c r="C34" s="311" t="s">
        <v>128</v>
      </c>
      <c r="D34" s="308">
        <v>2</v>
      </c>
      <c r="E34" s="312">
        <v>33500</v>
      </c>
      <c r="F34" s="300">
        <f t="shared" ref="F34:F38" si="15">D34*E34</f>
        <v>67000</v>
      </c>
      <c r="G34" s="199"/>
      <c r="H34" s="199"/>
      <c r="I34" s="200"/>
      <c r="J34" s="201"/>
      <c r="K34" s="204"/>
      <c r="L34" s="205"/>
      <c r="M34" s="205"/>
    </row>
    <row r="35" spans="1:13">
      <c r="A35" s="295">
        <f t="shared" ref="A35:A39" si="16">A34+0.01</f>
        <v>6.02</v>
      </c>
      <c r="B35" s="310" t="s">
        <v>147</v>
      </c>
      <c r="C35" s="313" t="s">
        <v>128</v>
      </c>
      <c r="D35" s="308">
        <v>1</v>
      </c>
      <c r="E35" s="312">
        <v>17000</v>
      </c>
      <c r="F35" s="300">
        <f t="shared" si="15"/>
        <v>17000</v>
      </c>
      <c r="G35" s="199"/>
      <c r="H35" s="199"/>
      <c r="I35" s="200"/>
      <c r="J35" s="201"/>
      <c r="K35" s="204"/>
      <c r="L35" s="205"/>
      <c r="M35" s="205"/>
    </row>
    <row r="36" spans="1:13">
      <c r="A36" s="295">
        <f t="shared" si="16"/>
        <v>6.0299999999999994</v>
      </c>
      <c r="B36" s="310" t="s">
        <v>148</v>
      </c>
      <c r="C36" s="313" t="s">
        <v>128</v>
      </c>
      <c r="D36" s="308">
        <v>1</v>
      </c>
      <c r="E36" s="312">
        <v>10000</v>
      </c>
      <c r="F36" s="300">
        <f t="shared" si="15"/>
        <v>10000</v>
      </c>
      <c r="G36" s="199"/>
      <c r="H36" s="199"/>
      <c r="I36" s="200"/>
      <c r="J36" s="201"/>
      <c r="K36" s="204"/>
      <c r="L36" s="205"/>
      <c r="M36" s="205"/>
    </row>
    <row r="37" spans="1:13">
      <c r="A37" s="295">
        <f t="shared" si="16"/>
        <v>6.0399999999999991</v>
      </c>
      <c r="B37" s="314" t="s">
        <v>149</v>
      </c>
      <c r="C37" s="313" t="s">
        <v>128</v>
      </c>
      <c r="D37" s="308">
        <v>1</v>
      </c>
      <c r="E37" s="312">
        <v>39500</v>
      </c>
      <c r="F37" s="300">
        <f t="shared" si="15"/>
        <v>39500</v>
      </c>
      <c r="G37" s="199"/>
      <c r="H37" s="199"/>
      <c r="I37" s="200"/>
      <c r="J37" s="201"/>
      <c r="K37" s="204"/>
      <c r="L37" s="205"/>
      <c r="M37" s="205"/>
    </row>
    <row r="38" spans="1:13">
      <c r="A38" s="295">
        <f t="shared" si="16"/>
        <v>6.0499999999999989</v>
      </c>
      <c r="B38" s="315" t="s">
        <v>150</v>
      </c>
      <c r="C38" s="313" t="s">
        <v>128</v>
      </c>
      <c r="D38" s="308">
        <v>1</v>
      </c>
      <c r="E38" s="312">
        <v>8500</v>
      </c>
      <c r="F38" s="316">
        <f t="shared" si="15"/>
        <v>8500</v>
      </c>
      <c r="G38" s="199"/>
      <c r="H38" s="199"/>
      <c r="I38" s="200"/>
      <c r="J38" s="201"/>
      <c r="K38" s="204"/>
      <c r="L38" s="205"/>
      <c r="M38" s="205"/>
    </row>
    <row r="39" spans="1:13">
      <c r="A39" s="295">
        <f t="shared" si="16"/>
        <v>6.0599999999999987</v>
      </c>
      <c r="B39" s="301" t="s">
        <v>133</v>
      </c>
      <c r="C39" s="293"/>
      <c r="D39" s="293"/>
      <c r="E39" s="294"/>
      <c r="F39" s="294">
        <f>SUM(F34:F38)</f>
        <v>142000</v>
      </c>
      <c r="G39" s="199"/>
      <c r="H39" s="199"/>
      <c r="I39" s="200"/>
      <c r="J39" s="201"/>
      <c r="K39" s="204"/>
      <c r="L39" s="205"/>
      <c r="M39" s="205"/>
    </row>
    <row r="40" spans="1:13">
      <c r="A40" s="291">
        <v>7</v>
      </c>
      <c r="B40" s="309" t="s">
        <v>151</v>
      </c>
      <c r="C40" s="293"/>
      <c r="D40" s="293"/>
      <c r="E40" s="294"/>
      <c r="F40" s="294"/>
      <c r="G40" s="199"/>
      <c r="H40" s="199"/>
      <c r="I40" s="200"/>
      <c r="J40" s="201"/>
      <c r="K40" s="204"/>
      <c r="L40" s="205"/>
      <c r="M40" s="205"/>
    </row>
    <row r="41" spans="1:13">
      <c r="A41" s="295">
        <f>A40+0.01</f>
        <v>7.01</v>
      </c>
      <c r="B41" s="314" t="s">
        <v>146</v>
      </c>
      <c r="C41" s="311" t="s">
        <v>128</v>
      </c>
      <c r="D41" s="308">
        <v>1</v>
      </c>
      <c r="E41" s="312">
        <v>33500</v>
      </c>
      <c r="F41" s="316">
        <f t="shared" ref="F41:F45" si="17">D41*E41</f>
        <v>33500</v>
      </c>
      <c r="G41" s="199"/>
      <c r="H41" s="199"/>
      <c r="I41" s="200"/>
      <c r="J41" s="201"/>
      <c r="K41" s="204"/>
      <c r="L41" s="205"/>
      <c r="M41" s="205"/>
    </row>
    <row r="42" spans="1:13">
      <c r="A42" s="295">
        <f t="shared" ref="A42:A45" si="18">A41+0.01</f>
        <v>7.02</v>
      </c>
      <c r="B42" s="310" t="s">
        <v>148</v>
      </c>
      <c r="C42" s="311" t="s">
        <v>128</v>
      </c>
      <c r="D42" s="308">
        <v>1</v>
      </c>
      <c r="E42" s="312">
        <v>7500</v>
      </c>
      <c r="F42" s="316">
        <f t="shared" si="17"/>
        <v>7500</v>
      </c>
      <c r="G42" s="199"/>
      <c r="H42" s="199"/>
      <c r="I42" s="200"/>
      <c r="J42" s="201"/>
      <c r="K42" s="204"/>
      <c r="L42" s="205"/>
      <c r="M42" s="205"/>
    </row>
    <row r="43" spans="1:13">
      <c r="A43" s="295">
        <f t="shared" si="18"/>
        <v>7.0299999999999994</v>
      </c>
      <c r="B43" s="314" t="s">
        <v>149</v>
      </c>
      <c r="C43" s="313" t="s">
        <v>128</v>
      </c>
      <c r="D43" s="308">
        <v>1</v>
      </c>
      <c r="E43" s="312">
        <v>40500</v>
      </c>
      <c r="F43" s="316">
        <f t="shared" si="17"/>
        <v>40500</v>
      </c>
      <c r="G43" s="199"/>
      <c r="H43" s="199"/>
      <c r="I43" s="200"/>
      <c r="J43" s="201"/>
      <c r="K43" s="204"/>
      <c r="L43" s="205"/>
      <c r="M43" s="205"/>
    </row>
    <row r="44" spans="1:13">
      <c r="A44" s="295">
        <f t="shared" si="18"/>
        <v>7.0399999999999991</v>
      </c>
      <c r="B44" s="314" t="s">
        <v>152</v>
      </c>
      <c r="C44" s="313" t="s">
        <v>128</v>
      </c>
      <c r="D44" s="308">
        <v>2</v>
      </c>
      <c r="E44" s="312">
        <v>4800</v>
      </c>
      <c r="F44" s="316">
        <f t="shared" si="17"/>
        <v>9600</v>
      </c>
      <c r="G44" s="199"/>
      <c r="H44" s="199"/>
      <c r="I44" s="200"/>
      <c r="J44" s="201"/>
      <c r="K44" s="204"/>
      <c r="L44" s="205"/>
      <c r="M44" s="205"/>
    </row>
    <row r="45" spans="1:13">
      <c r="A45" s="295">
        <f t="shared" si="18"/>
        <v>7.0499999999999989</v>
      </c>
      <c r="B45" s="315" t="s">
        <v>150</v>
      </c>
      <c r="C45" s="313" t="s">
        <v>128</v>
      </c>
      <c r="D45" s="308">
        <v>2</v>
      </c>
      <c r="E45" s="312">
        <v>8500</v>
      </c>
      <c r="F45" s="316">
        <f t="shared" si="17"/>
        <v>17000</v>
      </c>
      <c r="G45" s="199"/>
      <c r="H45" s="199"/>
      <c r="I45" s="200"/>
      <c r="J45" s="201"/>
      <c r="K45" s="204"/>
      <c r="L45" s="205"/>
      <c r="M45" s="205"/>
    </row>
    <row r="46" spans="1:13">
      <c r="A46" s="295"/>
      <c r="B46" s="301" t="s">
        <v>133</v>
      </c>
      <c r="C46" s="313"/>
      <c r="D46" s="308"/>
      <c r="E46" s="312"/>
      <c r="F46" s="317">
        <f>SUM(F41:F45)</f>
        <v>108100</v>
      </c>
      <c r="G46" s="199"/>
      <c r="H46" s="199"/>
      <c r="I46" s="200"/>
      <c r="J46" s="201"/>
      <c r="K46" s="204"/>
      <c r="L46" s="205"/>
      <c r="M46" s="205"/>
    </row>
    <row r="47" spans="1:13" ht="12.75" customHeight="1">
      <c r="A47" s="291">
        <v>8</v>
      </c>
      <c r="B47" s="309" t="s">
        <v>153</v>
      </c>
      <c r="C47" s="313"/>
      <c r="D47" s="308"/>
      <c r="E47" s="312"/>
      <c r="F47" s="316"/>
      <c r="G47" s="199"/>
      <c r="H47" s="199"/>
      <c r="I47" s="200"/>
      <c r="J47" s="201"/>
      <c r="K47" s="204"/>
      <c r="L47" s="205"/>
      <c r="M47" s="205"/>
    </row>
    <row r="48" spans="1:13" ht="63.75">
      <c r="A48" s="295">
        <f>A47+0.01</f>
        <v>8.01</v>
      </c>
      <c r="B48" s="318" t="s">
        <v>154</v>
      </c>
      <c r="C48" s="313" t="s">
        <v>128</v>
      </c>
      <c r="D48" s="308">
        <v>1</v>
      </c>
      <c r="E48" s="312">
        <v>798115.5</v>
      </c>
      <c r="F48" s="316">
        <f t="shared" ref="F48:F54" si="19">D48*E48</f>
        <v>798115.5</v>
      </c>
      <c r="G48" s="199"/>
      <c r="H48" s="199"/>
      <c r="I48" s="200"/>
      <c r="J48" s="201"/>
      <c r="K48" s="204"/>
      <c r="L48" s="205"/>
      <c r="M48" s="205"/>
    </row>
    <row r="49" spans="1:13" ht="38.25">
      <c r="A49" s="295">
        <f>A48+0.01</f>
        <v>8.02</v>
      </c>
      <c r="B49" s="318" t="s">
        <v>155</v>
      </c>
      <c r="C49" s="313" t="s">
        <v>128</v>
      </c>
      <c r="D49" s="308">
        <v>1</v>
      </c>
      <c r="E49" s="312">
        <v>47203</v>
      </c>
      <c r="F49" s="316">
        <f t="shared" si="19"/>
        <v>47203</v>
      </c>
      <c r="G49" s="199"/>
      <c r="H49" s="199"/>
      <c r="I49" s="200"/>
      <c r="J49" s="201"/>
      <c r="K49" s="204"/>
      <c r="L49" s="205"/>
      <c r="M49" s="205"/>
    </row>
    <row r="50" spans="1:13" ht="51">
      <c r="A50" s="295">
        <f t="shared" ref="A50:A54" si="20">A49+0.01</f>
        <v>8.0299999999999994</v>
      </c>
      <c r="B50" s="310" t="s">
        <v>156</v>
      </c>
      <c r="C50" s="313" t="s">
        <v>128</v>
      </c>
      <c r="D50" s="308">
        <v>1</v>
      </c>
      <c r="E50" s="312">
        <v>72115.16</v>
      </c>
      <c r="F50" s="316">
        <f t="shared" si="19"/>
        <v>72115.16</v>
      </c>
      <c r="G50" s="199"/>
      <c r="H50" s="199"/>
      <c r="I50" s="200"/>
      <c r="J50" s="201"/>
      <c r="K50" s="204"/>
      <c r="L50" s="205"/>
      <c r="M50" s="205"/>
    </row>
    <row r="51" spans="1:13" ht="25.5">
      <c r="A51" s="295">
        <f t="shared" si="20"/>
        <v>8.0399999999999991</v>
      </c>
      <c r="B51" s="310" t="s">
        <v>157</v>
      </c>
      <c r="C51" s="313" t="s">
        <v>128</v>
      </c>
      <c r="D51" s="308">
        <v>1</v>
      </c>
      <c r="E51" s="312">
        <v>45000</v>
      </c>
      <c r="F51" s="316">
        <f t="shared" si="19"/>
        <v>45000</v>
      </c>
      <c r="G51" s="199"/>
      <c r="H51" s="199"/>
      <c r="I51" s="200"/>
      <c r="J51" s="201"/>
      <c r="K51" s="204"/>
      <c r="L51" s="205"/>
      <c r="M51" s="205"/>
    </row>
    <row r="52" spans="1:13" ht="38.25">
      <c r="A52" s="295">
        <f t="shared" si="20"/>
        <v>8.0499999999999989</v>
      </c>
      <c r="B52" s="310" t="s">
        <v>158</v>
      </c>
      <c r="C52" s="313" t="s">
        <v>128</v>
      </c>
      <c r="D52" s="308">
        <v>1</v>
      </c>
      <c r="E52" s="312">
        <v>9933.65</v>
      </c>
      <c r="F52" s="316">
        <f t="shared" si="19"/>
        <v>9933.65</v>
      </c>
      <c r="G52" s="199"/>
      <c r="H52" s="199"/>
      <c r="I52" s="200"/>
      <c r="J52" s="201"/>
      <c r="K52" s="204"/>
      <c r="L52" s="205"/>
      <c r="M52" s="205"/>
    </row>
    <row r="53" spans="1:13" ht="25.5">
      <c r="A53" s="295">
        <f t="shared" si="20"/>
        <v>8.0599999999999987</v>
      </c>
      <c r="B53" s="310" t="s">
        <v>159</v>
      </c>
      <c r="C53" s="313" t="s">
        <v>128</v>
      </c>
      <c r="D53" s="308">
        <v>1</v>
      </c>
      <c r="E53" s="312">
        <v>3605.57</v>
      </c>
      <c r="F53" s="316">
        <f t="shared" si="19"/>
        <v>3605.57</v>
      </c>
      <c r="G53" s="199"/>
      <c r="H53" s="199"/>
      <c r="I53" s="200"/>
      <c r="J53" s="201"/>
      <c r="K53" s="204"/>
      <c r="L53" s="205"/>
      <c r="M53" s="205"/>
    </row>
    <row r="54" spans="1:13" ht="25.5">
      <c r="A54" s="295">
        <f t="shared" si="20"/>
        <v>8.0699999999999985</v>
      </c>
      <c r="B54" s="310" t="s">
        <v>160</v>
      </c>
      <c r="C54" s="313" t="s">
        <v>128</v>
      </c>
      <c r="D54" s="308">
        <v>16</v>
      </c>
      <c r="E54" s="312">
        <v>4971.01</v>
      </c>
      <c r="F54" s="316">
        <f t="shared" si="19"/>
        <v>79536.160000000003</v>
      </c>
      <c r="G54" s="199"/>
      <c r="H54" s="199"/>
      <c r="I54" s="200"/>
      <c r="J54" s="201"/>
      <c r="K54" s="204"/>
      <c r="L54" s="205"/>
      <c r="M54" s="205"/>
    </row>
    <row r="55" spans="1:13">
      <c r="A55" s="295"/>
      <c r="B55" s="301" t="s">
        <v>133</v>
      </c>
      <c r="C55" s="313"/>
      <c r="D55" s="308"/>
      <c r="E55" s="312"/>
      <c r="F55" s="317">
        <f>SUM(F48:F54)</f>
        <v>1055509.04</v>
      </c>
      <c r="G55" s="199"/>
      <c r="H55" s="199"/>
      <c r="I55" s="200"/>
      <c r="J55" s="201"/>
      <c r="K55" s="204"/>
      <c r="L55" s="205"/>
      <c r="M55" s="205"/>
    </row>
    <row r="56" spans="1:13">
      <c r="A56" s="291">
        <v>9</v>
      </c>
      <c r="B56" s="309" t="s">
        <v>161</v>
      </c>
      <c r="C56" s="313"/>
      <c r="D56" s="308"/>
      <c r="E56" s="312"/>
      <c r="F56" s="316"/>
      <c r="G56" s="199"/>
      <c r="H56" s="199"/>
      <c r="I56" s="200"/>
      <c r="J56" s="201"/>
      <c r="K56" s="204"/>
      <c r="L56" s="205"/>
      <c r="M56" s="205"/>
    </row>
    <row r="57" spans="1:13" ht="63.75">
      <c r="A57" s="295">
        <f>A56+0.01</f>
        <v>9.01</v>
      </c>
      <c r="B57" s="318" t="s">
        <v>154</v>
      </c>
      <c r="C57" s="313" t="s">
        <v>128</v>
      </c>
      <c r="D57" s="308">
        <v>1</v>
      </c>
      <c r="E57" s="312">
        <v>798115.5</v>
      </c>
      <c r="F57" s="316">
        <f t="shared" ref="F57:F63" si="21">D57*E57</f>
        <v>798115.5</v>
      </c>
      <c r="G57" s="199"/>
      <c r="H57" s="199"/>
      <c r="I57" s="200"/>
      <c r="J57" s="201"/>
      <c r="K57" s="204"/>
      <c r="L57" s="205"/>
      <c r="M57" s="205"/>
    </row>
    <row r="58" spans="1:13" ht="38.25">
      <c r="A58" s="295">
        <f>A57+0.01</f>
        <v>9.02</v>
      </c>
      <c r="B58" s="318" t="s">
        <v>155</v>
      </c>
      <c r="C58" s="313" t="s">
        <v>128</v>
      </c>
      <c r="D58" s="308">
        <v>1</v>
      </c>
      <c r="E58" s="312">
        <v>47203</v>
      </c>
      <c r="F58" s="316">
        <f t="shared" si="21"/>
        <v>47203</v>
      </c>
      <c r="G58" s="199"/>
      <c r="H58" s="199"/>
      <c r="I58" s="200"/>
      <c r="J58" s="201"/>
      <c r="K58" s="204"/>
      <c r="L58" s="205"/>
      <c r="M58" s="205"/>
    </row>
    <row r="59" spans="1:13" ht="51">
      <c r="A59" s="295">
        <f t="shared" ref="A59:A63" si="22">A58+0.01</f>
        <v>9.0299999999999994</v>
      </c>
      <c r="B59" s="310" t="s">
        <v>156</v>
      </c>
      <c r="C59" s="313" t="s">
        <v>128</v>
      </c>
      <c r="D59" s="308">
        <v>1</v>
      </c>
      <c r="E59" s="312">
        <v>72115.16</v>
      </c>
      <c r="F59" s="316">
        <f t="shared" si="21"/>
        <v>72115.16</v>
      </c>
      <c r="G59" s="199"/>
      <c r="H59" s="199"/>
      <c r="I59" s="200"/>
      <c r="J59" s="201"/>
      <c r="K59" s="204"/>
      <c r="L59" s="205"/>
      <c r="M59" s="205"/>
    </row>
    <row r="60" spans="1:13" ht="25.5">
      <c r="A60" s="295">
        <f t="shared" si="22"/>
        <v>9.0399999999999991</v>
      </c>
      <c r="B60" s="310" t="s">
        <v>157</v>
      </c>
      <c r="C60" s="313" t="s">
        <v>128</v>
      </c>
      <c r="D60" s="308">
        <v>1</v>
      </c>
      <c r="E60" s="312">
        <v>45000</v>
      </c>
      <c r="F60" s="316">
        <f t="shared" si="21"/>
        <v>45000</v>
      </c>
      <c r="G60" s="199"/>
      <c r="H60" s="199"/>
      <c r="I60" s="200"/>
      <c r="J60" s="201"/>
      <c r="K60" s="204"/>
      <c r="L60" s="205"/>
      <c r="M60" s="205"/>
    </row>
    <row r="61" spans="1:13" ht="38.25">
      <c r="A61" s="295">
        <f t="shared" si="22"/>
        <v>9.0499999999999989</v>
      </c>
      <c r="B61" s="310" t="s">
        <v>158</v>
      </c>
      <c r="C61" s="313" t="s">
        <v>128</v>
      </c>
      <c r="D61" s="308">
        <v>1</v>
      </c>
      <c r="E61" s="312">
        <v>9933.65</v>
      </c>
      <c r="F61" s="316">
        <f t="shared" si="21"/>
        <v>9933.65</v>
      </c>
      <c r="G61" s="199"/>
      <c r="H61" s="199"/>
      <c r="I61" s="200"/>
      <c r="J61" s="201"/>
      <c r="K61" s="204"/>
      <c r="L61" s="205"/>
      <c r="M61" s="205"/>
    </row>
    <row r="62" spans="1:13" ht="25.5">
      <c r="A62" s="295">
        <f t="shared" si="22"/>
        <v>9.0599999999999987</v>
      </c>
      <c r="B62" s="310" t="s">
        <v>159</v>
      </c>
      <c r="C62" s="313" t="s">
        <v>128</v>
      </c>
      <c r="D62" s="308">
        <v>1</v>
      </c>
      <c r="E62" s="312">
        <v>3605.57</v>
      </c>
      <c r="F62" s="316">
        <f t="shared" si="21"/>
        <v>3605.57</v>
      </c>
      <c r="G62" s="199"/>
      <c r="H62" s="199"/>
      <c r="I62" s="200"/>
      <c r="J62" s="201"/>
      <c r="K62" s="204"/>
      <c r="L62" s="205"/>
      <c r="M62" s="205"/>
    </row>
    <row r="63" spans="1:13" ht="25.5">
      <c r="A63" s="295">
        <f t="shared" si="22"/>
        <v>9.0699999999999985</v>
      </c>
      <c r="B63" s="310" t="s">
        <v>160</v>
      </c>
      <c r="C63" s="313" t="s">
        <v>128</v>
      </c>
      <c r="D63" s="308">
        <v>16</v>
      </c>
      <c r="E63" s="312">
        <v>4971.01</v>
      </c>
      <c r="F63" s="316">
        <f t="shared" si="21"/>
        <v>79536.160000000003</v>
      </c>
      <c r="G63" s="199"/>
      <c r="H63" s="199"/>
      <c r="I63" s="200"/>
      <c r="J63" s="201"/>
      <c r="K63" s="204"/>
      <c r="L63" s="205"/>
      <c r="M63" s="205"/>
    </row>
    <row r="64" spans="1:13">
      <c r="A64" s="295"/>
      <c r="B64" s="301" t="s">
        <v>133</v>
      </c>
      <c r="C64" s="313"/>
      <c r="D64" s="308"/>
      <c r="E64" s="312"/>
      <c r="F64" s="317">
        <f>SUM(F57:F63)</f>
        <v>1055509.04</v>
      </c>
      <c r="G64" s="199"/>
      <c r="H64" s="199"/>
      <c r="I64" s="200"/>
      <c r="J64" s="201"/>
      <c r="K64" s="204"/>
      <c r="L64" s="205"/>
      <c r="M64" s="205"/>
    </row>
    <row r="65" spans="1:13">
      <c r="A65" s="291">
        <v>10</v>
      </c>
      <c r="B65" s="309" t="s">
        <v>161</v>
      </c>
      <c r="C65" s="313"/>
      <c r="D65" s="308"/>
      <c r="E65" s="312"/>
      <c r="F65" s="316"/>
      <c r="G65" s="199"/>
      <c r="H65" s="199"/>
      <c r="I65" s="200"/>
      <c r="J65" s="201"/>
      <c r="K65" s="204"/>
      <c r="L65" s="205"/>
      <c r="M65" s="205"/>
    </row>
    <row r="66" spans="1:13" ht="63.75">
      <c r="A66" s="295">
        <f>A65+0.01</f>
        <v>10.01</v>
      </c>
      <c r="B66" s="318" t="s">
        <v>154</v>
      </c>
      <c r="C66" s="313" t="s">
        <v>128</v>
      </c>
      <c r="D66" s="308">
        <v>1</v>
      </c>
      <c r="E66" s="312">
        <v>798115.5</v>
      </c>
      <c r="F66" s="316">
        <f t="shared" ref="F66:F72" si="23">D66*E66</f>
        <v>798115.5</v>
      </c>
      <c r="G66" s="199"/>
      <c r="H66" s="199"/>
      <c r="I66" s="200"/>
      <c r="J66" s="201"/>
      <c r="K66" s="204"/>
      <c r="L66" s="205"/>
      <c r="M66" s="205"/>
    </row>
    <row r="67" spans="1:13" ht="38.25">
      <c r="A67" s="295">
        <f>A66+0.01</f>
        <v>10.02</v>
      </c>
      <c r="B67" s="318" t="s">
        <v>155</v>
      </c>
      <c r="C67" s="313" t="s">
        <v>128</v>
      </c>
      <c r="D67" s="308">
        <v>1</v>
      </c>
      <c r="E67" s="312">
        <v>47203</v>
      </c>
      <c r="F67" s="316">
        <f t="shared" si="23"/>
        <v>47203</v>
      </c>
      <c r="G67" s="199"/>
      <c r="H67" s="199"/>
      <c r="I67" s="200"/>
      <c r="J67" s="201"/>
      <c r="K67" s="204"/>
      <c r="L67" s="205"/>
      <c r="M67" s="205"/>
    </row>
    <row r="68" spans="1:13" ht="51">
      <c r="A68" s="295">
        <f t="shared" ref="A68:A72" si="24">A67+0.01</f>
        <v>10.029999999999999</v>
      </c>
      <c r="B68" s="310" t="s">
        <v>156</v>
      </c>
      <c r="C68" s="313" t="s">
        <v>128</v>
      </c>
      <c r="D68" s="308">
        <v>1</v>
      </c>
      <c r="E68" s="312">
        <v>72115.16</v>
      </c>
      <c r="F68" s="316">
        <f t="shared" si="23"/>
        <v>72115.16</v>
      </c>
      <c r="G68" s="199"/>
      <c r="H68" s="199"/>
      <c r="I68" s="200"/>
      <c r="J68" s="201"/>
      <c r="K68" s="204"/>
      <c r="L68" s="205"/>
      <c r="M68" s="205"/>
    </row>
    <row r="69" spans="1:13" ht="25.5">
      <c r="A69" s="295">
        <f t="shared" si="24"/>
        <v>10.039999999999999</v>
      </c>
      <c r="B69" s="310" t="s">
        <v>157</v>
      </c>
      <c r="C69" s="313" t="s">
        <v>128</v>
      </c>
      <c r="D69" s="308">
        <v>1</v>
      </c>
      <c r="E69" s="312">
        <v>45000</v>
      </c>
      <c r="F69" s="316">
        <f t="shared" si="23"/>
        <v>45000</v>
      </c>
      <c r="G69" s="199"/>
      <c r="H69" s="199"/>
      <c r="I69" s="200"/>
      <c r="J69" s="201"/>
      <c r="K69" s="204"/>
      <c r="L69" s="205"/>
      <c r="M69" s="205"/>
    </row>
    <row r="70" spans="1:13" ht="38.25">
      <c r="A70" s="295">
        <f t="shared" si="24"/>
        <v>10.049999999999999</v>
      </c>
      <c r="B70" s="310" t="s">
        <v>158</v>
      </c>
      <c r="C70" s="313" t="s">
        <v>128</v>
      </c>
      <c r="D70" s="308">
        <v>1</v>
      </c>
      <c r="E70" s="312">
        <v>9933.65</v>
      </c>
      <c r="F70" s="316">
        <f t="shared" si="23"/>
        <v>9933.65</v>
      </c>
      <c r="G70" s="199"/>
      <c r="H70" s="199"/>
      <c r="I70" s="200"/>
      <c r="J70" s="201"/>
      <c r="K70" s="204"/>
      <c r="L70" s="205"/>
      <c r="M70" s="205"/>
    </row>
    <row r="71" spans="1:13" ht="25.5">
      <c r="A71" s="295">
        <f t="shared" si="24"/>
        <v>10.059999999999999</v>
      </c>
      <c r="B71" s="310" t="s">
        <v>159</v>
      </c>
      <c r="C71" s="313" t="s">
        <v>128</v>
      </c>
      <c r="D71" s="308">
        <v>1</v>
      </c>
      <c r="E71" s="312">
        <v>3605.57</v>
      </c>
      <c r="F71" s="316">
        <f t="shared" si="23"/>
        <v>3605.57</v>
      </c>
      <c r="G71" s="199"/>
      <c r="H71" s="199"/>
      <c r="I71" s="200"/>
      <c r="J71" s="201"/>
      <c r="K71" s="204"/>
      <c r="L71" s="205"/>
      <c r="M71" s="205"/>
    </row>
    <row r="72" spans="1:13" ht="25.5">
      <c r="A72" s="295">
        <f t="shared" si="24"/>
        <v>10.069999999999999</v>
      </c>
      <c r="B72" s="310" t="s">
        <v>160</v>
      </c>
      <c r="C72" s="313" t="s">
        <v>128</v>
      </c>
      <c r="D72" s="308">
        <v>16</v>
      </c>
      <c r="E72" s="312">
        <v>4971.01</v>
      </c>
      <c r="F72" s="316">
        <f t="shared" si="23"/>
        <v>79536.160000000003</v>
      </c>
      <c r="G72" s="199"/>
      <c r="H72" s="199"/>
      <c r="I72" s="200"/>
      <c r="J72" s="201"/>
      <c r="K72" s="204"/>
      <c r="L72" s="205"/>
      <c r="M72" s="205"/>
    </row>
    <row r="73" spans="1:13">
      <c r="A73" s="295"/>
      <c r="B73" s="301" t="s">
        <v>133</v>
      </c>
      <c r="C73" s="313"/>
      <c r="D73" s="308"/>
      <c r="E73" s="312"/>
      <c r="F73" s="317">
        <f>SUM(F66:F72)</f>
        <v>1055509.04</v>
      </c>
      <c r="G73" s="199"/>
      <c r="H73" s="199"/>
      <c r="I73" s="200"/>
      <c r="J73" s="201"/>
      <c r="K73" s="204"/>
      <c r="L73" s="205"/>
      <c r="M73" s="205"/>
    </row>
    <row r="74" spans="1:13">
      <c r="A74" s="295"/>
      <c r="B74" s="254" t="s">
        <v>90</v>
      </c>
      <c r="C74" s="319"/>
      <c r="D74" s="319"/>
      <c r="E74" s="23"/>
      <c r="F74" s="320">
        <f>F73+F64+F55+F46+F39+F32+F25+F22+F19+F16</f>
        <v>17263878.878672</v>
      </c>
      <c r="G74" s="199"/>
      <c r="H74" s="199"/>
      <c r="I74" s="200"/>
      <c r="J74" s="201"/>
      <c r="K74" s="227">
        <f>K32+K25+K22+K16+K19</f>
        <v>9620142.0054501761</v>
      </c>
      <c r="L74" s="205">
        <f>L19+L16+L22+L25+L32</f>
        <v>2958360.1152701001</v>
      </c>
      <c r="M74" s="231">
        <f t="shared" ref="M74" si="25">K74+L74</f>
        <v>12578502.120720277</v>
      </c>
    </row>
    <row r="75" spans="1:13">
      <c r="A75" s="3"/>
      <c r="B75" s="8"/>
      <c r="C75" s="3"/>
      <c r="D75" s="3"/>
      <c r="E75" s="257"/>
      <c r="F75" s="3"/>
      <c r="G75" s="3"/>
      <c r="H75" s="3"/>
      <c r="I75" s="3"/>
      <c r="J75" s="3"/>
      <c r="K75" s="162"/>
      <c r="L75" s="258"/>
      <c r="M75" s="258"/>
    </row>
    <row r="76" spans="1:13">
      <c r="A76" s="79"/>
      <c r="B76" s="8"/>
      <c r="C76" s="259"/>
      <c r="D76" s="259"/>
      <c r="E76" s="121"/>
      <c r="F76" s="149"/>
      <c r="G76" s="260"/>
      <c r="H76" s="261"/>
      <c r="I76" s="262"/>
      <c r="J76" s="263"/>
      <c r="K76" s="264"/>
      <c r="L76" s="265"/>
      <c r="M76" s="266"/>
    </row>
    <row r="77" spans="1:13">
      <c r="A77" s="79"/>
    </row>
    <row r="78" spans="1:13">
      <c r="A78" s="79"/>
      <c r="B78" s="267"/>
      <c r="C78" s="3"/>
      <c r="D78" s="3"/>
      <c r="E78" s="121"/>
      <c r="F78" s="149"/>
      <c r="G78" s="260"/>
      <c r="H78" s="261"/>
      <c r="I78" s="262"/>
      <c r="J78" s="263"/>
      <c r="K78" s="264"/>
      <c r="L78" s="265"/>
      <c r="M78" s="266"/>
    </row>
    <row r="79" spans="1:13">
      <c r="A79" s="79"/>
      <c r="B79" s="8"/>
      <c r="C79" s="3"/>
      <c r="D79" s="3"/>
      <c r="E79" s="121"/>
      <c r="F79" s="149"/>
      <c r="G79" s="260"/>
      <c r="H79" s="261"/>
      <c r="I79" s="262"/>
      <c r="J79" s="263"/>
      <c r="K79" s="264"/>
      <c r="L79" s="265"/>
      <c r="M79" s="266"/>
    </row>
    <row r="80" spans="1:13">
      <c r="A80" s="79"/>
      <c r="B80" s="8"/>
      <c r="C80" s="3"/>
      <c r="D80" s="3"/>
      <c r="E80" s="121"/>
      <c r="F80" s="149"/>
      <c r="H80" s="261"/>
      <c r="I80" s="262"/>
      <c r="J80" s="263"/>
      <c r="K80" s="264"/>
      <c r="L80" s="265"/>
      <c r="M80" s="266"/>
    </row>
    <row r="81" spans="1:13">
      <c r="A81" s="79"/>
      <c r="B81" s="8"/>
      <c r="C81" s="3"/>
      <c r="D81" s="3"/>
      <c r="E81" s="121"/>
      <c r="F81" s="149"/>
      <c r="G81" s="260"/>
      <c r="H81" s="261"/>
      <c r="I81" s="262"/>
      <c r="J81" s="263"/>
      <c r="K81" s="264"/>
      <c r="L81" s="265"/>
      <c r="M81" s="266"/>
    </row>
    <row r="82" spans="1:13">
      <c r="A82" s="79"/>
      <c r="B82" s="5"/>
      <c r="C82" s="121"/>
      <c r="D82" s="121"/>
      <c r="E82" s="121"/>
      <c r="G82" s="260"/>
      <c r="H82" s="261"/>
      <c r="I82" s="262"/>
      <c r="J82" s="263"/>
      <c r="K82" s="264"/>
      <c r="L82" s="265"/>
      <c r="M82" s="266"/>
    </row>
    <row r="83" spans="1:13">
      <c r="A83" s="79"/>
      <c r="B83" s="5"/>
      <c r="C83" s="121"/>
      <c r="D83" s="121"/>
      <c r="E83" s="121"/>
      <c r="F83" s="149"/>
      <c r="G83" s="260"/>
      <c r="H83" s="261"/>
      <c r="I83" s="262"/>
      <c r="J83" s="263"/>
      <c r="K83" s="264"/>
      <c r="L83" s="265"/>
      <c r="M83" s="266"/>
    </row>
    <row r="84" spans="1:13">
      <c r="A84" s="79"/>
      <c r="B84" s="5"/>
      <c r="C84" s="121"/>
      <c r="D84" s="121"/>
      <c r="E84" s="121"/>
      <c r="F84" s="149"/>
      <c r="G84" s="260"/>
      <c r="H84" s="261"/>
      <c r="I84" s="262"/>
      <c r="J84" s="263"/>
      <c r="K84" s="264"/>
      <c r="L84" s="265"/>
      <c r="M84" s="266"/>
    </row>
    <row r="85" spans="1:13">
      <c r="A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</row>
    <row r="86" spans="1:13">
      <c r="A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</row>
    <row r="87" spans="1:13">
      <c r="A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</row>
    <row r="88" spans="1:13">
      <c r="A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</row>
    <row r="89" spans="1:13">
      <c r="A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</row>
    <row r="90" spans="1:13">
      <c r="A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</row>
    <row r="91" spans="1:13">
      <c r="A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</row>
    <row r="92" spans="1:13">
      <c r="A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</row>
    <row r="93" spans="1:13">
      <c r="A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</row>
    <row r="94" spans="1:13">
      <c r="A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</row>
    <row r="95" spans="1:13">
      <c r="A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</row>
    <row r="96" spans="1:13">
      <c r="A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</row>
    <row r="97" spans="1:13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</row>
    <row r="98" spans="1:13">
      <c r="A98" s="2"/>
      <c r="B98" s="1004" t="s">
        <v>162</v>
      </c>
      <c r="C98" s="1004"/>
      <c r="D98" s="1004"/>
      <c r="E98" s="1004"/>
      <c r="F98" s="1004"/>
      <c r="G98" s="1004"/>
      <c r="H98" s="1004"/>
      <c r="I98" s="1004"/>
      <c r="J98" s="1004"/>
      <c r="K98" s="1004"/>
      <c r="L98" s="8"/>
      <c r="M98" s="8"/>
    </row>
    <row r="99" spans="1:13">
      <c r="A99" s="2"/>
      <c r="B99" s="1005" t="s">
        <v>1</v>
      </c>
      <c r="C99" s="1005"/>
      <c r="D99" s="1005"/>
      <c r="E99" s="1005"/>
      <c r="F99" s="1005"/>
      <c r="G99" s="1005"/>
      <c r="H99" s="1005"/>
      <c r="I99" s="1005"/>
      <c r="J99" s="1005"/>
      <c r="K99" s="1005"/>
      <c r="L99" s="150"/>
      <c r="M99" s="268" t="s">
        <v>163</v>
      </c>
    </row>
    <row r="100" spans="1:13">
      <c r="A100" s="3"/>
      <c r="B100" s="269" t="s">
        <v>164</v>
      </c>
      <c r="C100" s="1032" t="s">
        <v>165</v>
      </c>
      <c r="D100" s="1032"/>
      <c r="E100" s="1032"/>
      <c r="F100" s="1032"/>
      <c r="G100" s="1032"/>
      <c r="H100" s="1032"/>
      <c r="I100" s="1032"/>
      <c r="J100" s="3"/>
      <c r="K100" s="3"/>
      <c r="L100" s="4" t="s">
        <v>122</v>
      </c>
      <c r="M100" s="6">
        <v>21044668.350000001</v>
      </c>
    </row>
    <row r="101" spans="1:13">
      <c r="A101" s="3"/>
      <c r="B101" s="4" t="s">
        <v>5</v>
      </c>
      <c r="C101" s="7">
        <v>3</v>
      </c>
      <c r="D101" s="3"/>
      <c r="E101" s="8"/>
      <c r="F101" s="8"/>
      <c r="G101" s="8"/>
      <c r="H101" s="3"/>
      <c r="I101" s="3"/>
      <c r="J101" s="3"/>
      <c r="K101" s="3"/>
      <c r="L101" s="4" t="s">
        <v>6</v>
      </c>
      <c r="M101" s="6">
        <v>2645359.2999999998</v>
      </c>
    </row>
    <row r="102" spans="1:13">
      <c r="A102" s="3"/>
      <c r="B102" s="4" t="s">
        <v>7</v>
      </c>
      <c r="C102" s="8" t="s">
        <v>175</v>
      </c>
      <c r="D102" s="8"/>
      <c r="E102" s="8"/>
      <c r="F102" s="8"/>
      <c r="G102" s="11"/>
      <c r="H102" s="3"/>
      <c r="I102" s="3"/>
      <c r="J102" s="3"/>
      <c r="K102" s="3"/>
      <c r="L102" s="4" t="s">
        <v>9</v>
      </c>
      <c r="M102" s="13" t="s">
        <v>125</v>
      </c>
    </row>
    <row r="103" spans="1:13">
      <c r="A103" s="3"/>
      <c r="B103" s="4" t="s">
        <v>11</v>
      </c>
      <c r="C103" s="8" t="s">
        <v>126</v>
      </c>
      <c r="D103" s="8"/>
      <c r="E103" s="8"/>
      <c r="F103" s="8"/>
      <c r="G103" s="8"/>
      <c r="H103" s="3"/>
      <c r="I103" s="3"/>
      <c r="J103" s="3"/>
      <c r="K103" s="3"/>
      <c r="L103" s="3"/>
      <c r="M103" s="3"/>
    </row>
    <row r="104" spans="1:13">
      <c r="A104" s="3"/>
      <c r="B104" s="4"/>
      <c r="C104" s="8"/>
      <c r="D104" s="8"/>
      <c r="E104" s="8"/>
      <c r="F104" s="8"/>
      <c r="G104" s="8"/>
      <c r="H104" s="3"/>
      <c r="I104" s="3"/>
      <c r="J104" s="3"/>
      <c r="K104" s="3"/>
      <c r="L104" s="3"/>
      <c r="M104" s="3"/>
    </row>
    <row r="105" spans="1:13">
      <c r="A105" s="3"/>
      <c r="B105" s="4"/>
      <c r="C105" s="8"/>
      <c r="D105" s="8"/>
      <c r="E105" s="8"/>
      <c r="F105" s="8"/>
      <c r="G105" s="8"/>
      <c r="H105" s="3"/>
      <c r="I105" s="3"/>
      <c r="J105" s="3"/>
      <c r="K105" s="3"/>
      <c r="L105" s="3"/>
      <c r="M105" s="3"/>
    </row>
    <row r="106" spans="1:13">
      <c r="A106" s="3"/>
      <c r="B106" s="4"/>
      <c r="C106" s="8"/>
      <c r="D106" s="8"/>
      <c r="E106" s="1004" t="s">
        <v>94</v>
      </c>
      <c r="F106" s="1004"/>
      <c r="G106" s="270"/>
      <c r="H106" s="1033" t="s">
        <v>22</v>
      </c>
      <c r="I106" s="1033"/>
      <c r="J106" s="1004" t="s">
        <v>23</v>
      </c>
      <c r="K106" s="1004"/>
      <c r="L106" s="1004" t="s">
        <v>24</v>
      </c>
      <c r="M106" s="1004"/>
    </row>
    <row r="107" spans="1:13">
      <c r="A107" s="3"/>
      <c r="B107" s="8" t="s">
        <v>166</v>
      </c>
      <c r="C107" s="8"/>
      <c r="D107" s="8"/>
      <c r="E107" s="1014">
        <f>F74</f>
        <v>17263878.878672</v>
      </c>
      <c r="F107" s="1014"/>
      <c r="G107" s="271"/>
      <c r="H107" s="1014">
        <f>K74</f>
        <v>9620142.0054501761</v>
      </c>
      <c r="I107" s="1014"/>
      <c r="J107" s="1014">
        <f>L74</f>
        <v>2958360.1152701001</v>
      </c>
      <c r="K107" s="1014"/>
      <c r="L107" s="1034">
        <f>H107+J107</f>
        <v>12578502.120720277</v>
      </c>
      <c r="M107" s="1034"/>
    </row>
    <row r="108" spans="1:13">
      <c r="A108" s="3"/>
      <c r="B108" s="7" t="s">
        <v>167</v>
      </c>
      <c r="C108" s="8"/>
      <c r="D108" s="8"/>
      <c r="E108" s="162"/>
      <c r="F108" s="162"/>
      <c r="G108" s="162"/>
      <c r="H108" s="1011"/>
      <c r="I108" s="1011"/>
      <c r="J108" s="164"/>
      <c r="K108" s="164"/>
      <c r="L108" s="164"/>
      <c r="M108" s="164"/>
    </row>
    <row r="109" spans="1:13">
      <c r="A109" s="3"/>
      <c r="B109" s="7" t="s">
        <v>95</v>
      </c>
      <c r="C109" s="8"/>
      <c r="E109" s="273"/>
      <c r="F109" s="273"/>
      <c r="G109" s="273"/>
      <c r="H109" s="273"/>
      <c r="I109" s="273"/>
      <c r="J109" s="273"/>
      <c r="K109" s="273"/>
      <c r="L109" s="273"/>
      <c r="M109" s="273"/>
    </row>
    <row r="110" spans="1:13">
      <c r="A110" s="274"/>
      <c r="B110" s="7" t="s">
        <v>96</v>
      </c>
      <c r="C110" s="166"/>
      <c r="D110" s="166"/>
      <c r="E110" s="1010"/>
      <c r="F110" s="1010"/>
      <c r="G110" s="275"/>
      <c r="H110" s="1010"/>
      <c r="I110" s="1010"/>
      <c r="J110" s="162"/>
      <c r="K110" s="162"/>
      <c r="L110" s="1010"/>
      <c r="M110" s="1010"/>
    </row>
    <row r="111" spans="1:13">
      <c r="A111" s="274"/>
      <c r="B111" s="8" t="s">
        <v>98</v>
      </c>
      <c r="C111" s="166"/>
      <c r="D111" s="170">
        <v>0.03</v>
      </c>
      <c r="E111" s="1010">
        <f>D111*E107</f>
        <v>517916.36636016</v>
      </c>
      <c r="F111" s="1010"/>
      <c r="G111" s="275"/>
      <c r="H111" s="1039">
        <f>H107*D111</f>
        <v>288604.26016350527</v>
      </c>
      <c r="I111" s="1039"/>
      <c r="J111" s="1039">
        <f>J107*D111</f>
        <v>88750.803458102993</v>
      </c>
      <c r="K111" s="1039"/>
      <c r="L111" s="1034">
        <f>H111+J111</f>
        <v>377355.06362160825</v>
      </c>
      <c r="M111" s="1034"/>
    </row>
    <row r="112" spans="1:13">
      <c r="A112" s="274"/>
      <c r="B112" s="8" t="s">
        <v>97</v>
      </c>
      <c r="C112" s="166"/>
      <c r="D112" s="168">
        <v>0.1</v>
      </c>
      <c r="E112" s="1010">
        <f>D112*E107</f>
        <v>1726387.8878672002</v>
      </c>
      <c r="F112" s="1010"/>
      <c r="G112" s="275"/>
      <c r="H112" s="1039">
        <f>H107*D112</f>
        <v>962014.20054501761</v>
      </c>
      <c r="I112" s="1039"/>
      <c r="J112" s="1039">
        <f>J107*D112</f>
        <v>295836.01152701001</v>
      </c>
      <c r="K112" s="1039"/>
      <c r="L112" s="1034">
        <f t="shared" ref="L112:L117" si="26">H112+J112</f>
        <v>1257850.2120720276</v>
      </c>
      <c r="M112" s="1034"/>
    </row>
    <row r="113" spans="1:13">
      <c r="A113" s="274"/>
      <c r="B113" s="8" t="s">
        <v>103</v>
      </c>
      <c r="C113" s="166"/>
      <c r="D113" s="168">
        <v>0.18</v>
      </c>
      <c r="E113" s="1010">
        <f>D113*E112</f>
        <v>310749.81981609605</v>
      </c>
      <c r="F113" s="1010"/>
      <c r="G113" s="275"/>
      <c r="H113" s="1039">
        <f>H112*D113</f>
        <v>173162.55609810317</v>
      </c>
      <c r="I113" s="1039"/>
      <c r="J113" s="1039">
        <f>J112*D113</f>
        <v>53250.4820748618</v>
      </c>
      <c r="K113" s="1039"/>
      <c r="L113" s="1034">
        <f t="shared" si="26"/>
        <v>226413.03817296497</v>
      </c>
      <c r="M113" s="1034"/>
    </row>
    <row r="114" spans="1:13">
      <c r="A114" s="274"/>
      <c r="B114" s="8" t="s">
        <v>100</v>
      </c>
      <c r="C114" s="168"/>
      <c r="D114" s="172">
        <v>0.03</v>
      </c>
      <c r="E114" s="1010">
        <f>D114*E107</f>
        <v>517916.36636016</v>
      </c>
      <c r="F114" s="1010"/>
      <c r="G114" s="275"/>
      <c r="H114" s="1039">
        <f>H107*D114</f>
        <v>288604.26016350527</v>
      </c>
      <c r="I114" s="1039"/>
      <c r="J114" s="1039">
        <f>J107*D114</f>
        <v>88750.803458102993</v>
      </c>
      <c r="K114" s="1039"/>
      <c r="L114" s="1034">
        <f t="shared" si="26"/>
        <v>377355.06362160825</v>
      </c>
      <c r="M114" s="1034"/>
    </row>
    <row r="115" spans="1:13">
      <c r="A115" s="274"/>
      <c r="B115" s="8" t="s">
        <v>168</v>
      </c>
      <c r="C115" s="166"/>
      <c r="D115" s="166">
        <v>0.03</v>
      </c>
      <c r="E115" s="1010">
        <f>D115*E107</f>
        <v>517916.36636016</v>
      </c>
      <c r="F115" s="1010"/>
      <c r="G115" s="275"/>
      <c r="H115" s="1039">
        <f>H107*D115</f>
        <v>288604.26016350527</v>
      </c>
      <c r="I115" s="1039"/>
      <c r="J115" s="1039">
        <f>J107*D115</f>
        <v>88750.803458102993</v>
      </c>
      <c r="K115" s="1039"/>
      <c r="L115" s="1034">
        <f t="shared" si="26"/>
        <v>377355.06362160825</v>
      </c>
      <c r="M115" s="1034"/>
    </row>
    <row r="116" spans="1:13">
      <c r="A116" s="274"/>
      <c r="B116" s="8" t="s">
        <v>101</v>
      </c>
      <c r="C116" s="166"/>
      <c r="D116" s="168">
        <v>0.01</v>
      </c>
      <c r="E116" s="1010">
        <f>D116*E107</f>
        <v>172638.78878671999</v>
      </c>
      <c r="F116" s="1010"/>
      <c r="G116" s="275"/>
      <c r="H116" s="1039">
        <f>H107*D116</f>
        <v>96201.420054501767</v>
      </c>
      <c r="I116" s="1039"/>
      <c r="J116" s="1039">
        <f>J107*D116</f>
        <v>29583.601152701001</v>
      </c>
      <c r="K116" s="1039"/>
      <c r="L116" s="1034">
        <f t="shared" si="26"/>
        <v>125785.02120720276</v>
      </c>
      <c r="M116" s="1034"/>
    </row>
    <row r="117" spans="1:13">
      <c r="A117" s="274"/>
      <c r="B117" s="8" t="s">
        <v>102</v>
      </c>
      <c r="C117" s="166"/>
      <c r="D117" s="166">
        <v>1E-3</v>
      </c>
      <c r="E117" s="1010">
        <f>D117*E107</f>
        <v>17263.878878672</v>
      </c>
      <c r="F117" s="1010"/>
      <c r="G117" s="275"/>
      <c r="H117" s="1039">
        <f>H107*D117</f>
        <v>9620.1420054501759</v>
      </c>
      <c r="I117" s="1039"/>
      <c r="J117" s="1039">
        <f>J107*D117</f>
        <v>2958.3601152701003</v>
      </c>
      <c r="K117" s="1039"/>
      <c r="L117" s="1034">
        <f t="shared" si="26"/>
        <v>12578.502120720277</v>
      </c>
      <c r="M117" s="1034"/>
    </row>
    <row r="118" spans="1:13">
      <c r="A118" s="274"/>
      <c r="B118" s="8"/>
      <c r="C118" s="166"/>
      <c r="D118" s="168"/>
      <c r="E118" s="1010"/>
      <c r="F118" s="1010"/>
      <c r="G118" s="275"/>
      <c r="H118" s="276"/>
      <c r="I118" s="276"/>
      <c r="J118" s="276"/>
      <c r="K118" s="276"/>
      <c r="L118" s="276"/>
      <c r="M118" s="277"/>
    </row>
    <row r="119" spans="1:13">
      <c r="A119" s="274"/>
      <c r="B119" s="173" t="s">
        <v>169</v>
      </c>
      <c r="C119" s="168"/>
      <c r="D119" s="1"/>
      <c r="E119" s="1015">
        <f>SUM(E111:F118)</f>
        <v>3780789.4744291687</v>
      </c>
      <c r="F119" s="1015"/>
      <c r="G119" s="275"/>
      <c r="H119" s="279"/>
      <c r="I119" s="279"/>
      <c r="J119" s="190"/>
      <c r="K119" s="190"/>
      <c r="L119" s="279"/>
      <c r="M119" s="279"/>
    </row>
    <row r="120" spans="1:13">
      <c r="A120" s="274"/>
      <c r="B120" s="8"/>
      <c r="C120" s="278"/>
      <c r="D120" s="168"/>
      <c r="E120" s="167"/>
      <c r="F120" s="167"/>
      <c r="G120" s="275"/>
      <c r="H120" s="279"/>
      <c r="I120" s="279"/>
      <c r="J120" s="190"/>
      <c r="K120" s="190"/>
      <c r="L120" s="279"/>
      <c r="M120" s="279"/>
    </row>
    <row r="121" spans="1:13">
      <c r="A121" s="274"/>
      <c r="B121" s="173" t="s">
        <v>170</v>
      </c>
      <c r="E121" s="1015">
        <f>E107+E119</f>
        <v>21044668.353101168</v>
      </c>
      <c r="F121" s="1015"/>
      <c r="G121" s="174"/>
      <c r="H121" s="1015">
        <f>SUM(H111:I120)</f>
        <v>2106811.0991935888</v>
      </c>
      <c r="I121" s="1015"/>
      <c r="J121" s="1014">
        <f>SUM(J111:K120)</f>
        <v>647880.86524415191</v>
      </c>
      <c r="K121" s="1014"/>
      <c r="L121" s="1034">
        <f t="shared" ref="L121" si="27">H121+J121</f>
        <v>2754691.9644377409</v>
      </c>
      <c r="M121" s="1034"/>
    </row>
    <row r="122" spans="1:13">
      <c r="A122" s="274"/>
      <c r="B122" s="173"/>
      <c r="C122" s="168"/>
      <c r="D122" s="1"/>
      <c r="E122" s="161"/>
      <c r="F122" s="161"/>
      <c r="G122" s="174"/>
      <c r="H122" s="161"/>
      <c r="I122" s="161"/>
      <c r="J122" s="159"/>
      <c r="K122" s="159"/>
      <c r="L122" s="272"/>
      <c r="M122" s="272"/>
    </row>
    <row r="123" spans="1:13">
      <c r="A123" s="274"/>
      <c r="B123" s="8"/>
      <c r="C123" s="281"/>
      <c r="D123" s="176"/>
      <c r="E123" s="1035"/>
      <c r="F123" s="1035"/>
      <c r="G123" s="275"/>
      <c r="H123" s="1036"/>
      <c r="I123" s="1036"/>
      <c r="J123" s="1036"/>
      <c r="K123" s="1036"/>
      <c r="L123" s="1035"/>
      <c r="M123" s="1035"/>
    </row>
    <row r="124" spans="1:13">
      <c r="A124" s="274"/>
      <c r="B124" s="179" t="s">
        <v>106</v>
      </c>
      <c r="C124" s="282"/>
      <c r="D124" s="154"/>
      <c r="G124" s="181"/>
      <c r="H124" s="1015">
        <f>H121+H107</f>
        <v>11726953.104643766</v>
      </c>
      <c r="I124" s="1015"/>
      <c r="J124" s="1014">
        <f>J121+J107</f>
        <v>3606240.9805142521</v>
      </c>
      <c r="K124" s="1014"/>
      <c r="L124" s="1034">
        <f t="shared" ref="L124" si="28">H124+J124</f>
        <v>15333194.085158018</v>
      </c>
      <c r="M124" s="1034"/>
    </row>
    <row r="125" spans="1:13">
      <c r="A125" s="3"/>
      <c r="B125" s="182" t="s">
        <v>107</v>
      </c>
      <c r="C125" s="168"/>
      <c r="E125" s="164"/>
      <c r="F125" s="164"/>
      <c r="G125" s="164"/>
      <c r="H125" s="164"/>
      <c r="I125" s="164"/>
      <c r="J125" s="164"/>
      <c r="K125" s="164"/>
      <c r="L125" s="164"/>
      <c r="M125" s="164"/>
    </row>
    <row r="126" spans="1:13">
      <c r="A126" s="3"/>
      <c r="B126" s="8"/>
      <c r="C126" s="3"/>
      <c r="D126" s="168"/>
      <c r="E126" s="164"/>
      <c r="F126" s="162"/>
      <c r="G126" s="164"/>
      <c r="H126" s="1003"/>
      <c r="I126" s="1003"/>
      <c r="J126" s="1003"/>
      <c r="K126" s="1003"/>
      <c r="L126" s="1003"/>
      <c r="M126" s="1003"/>
    </row>
    <row r="127" spans="1:13">
      <c r="A127" s="3"/>
      <c r="B127" s="7"/>
      <c r="C127" s="154"/>
      <c r="D127" s="166"/>
      <c r="E127" s="164"/>
      <c r="F127" s="164"/>
      <c r="G127" s="164"/>
      <c r="H127" s="1003"/>
      <c r="I127" s="1003"/>
      <c r="J127" s="1003"/>
      <c r="K127" s="1003"/>
      <c r="L127" s="1003"/>
      <c r="M127" s="1003"/>
    </row>
    <row r="128" spans="1:13">
      <c r="A128" s="3"/>
      <c r="B128" s="7" t="s">
        <v>108</v>
      </c>
      <c r="C128" s="154"/>
      <c r="D128" s="186">
        <v>0.2</v>
      </c>
      <c r="E128" s="163"/>
      <c r="F128" s="163"/>
      <c r="G128" s="163"/>
      <c r="H128" s="1040">
        <f>H124*D128</f>
        <v>2345390.6209287532</v>
      </c>
      <c r="I128" s="1040"/>
      <c r="J128" s="1039">
        <f>M101-H128</f>
        <v>299968.67907124665</v>
      </c>
      <c r="K128" s="1039"/>
      <c r="L128" s="1034">
        <f t="shared" ref="L128" si="29">H128+J128</f>
        <v>2645359.2999999998</v>
      </c>
      <c r="M128" s="1034"/>
    </row>
    <row r="129" spans="1:13">
      <c r="A129" s="3"/>
      <c r="E129" s="163"/>
      <c r="F129" s="163"/>
      <c r="G129" s="163"/>
      <c r="H129" s="1040"/>
      <c r="I129" s="1040"/>
      <c r="J129" s="1039"/>
      <c r="K129" s="1039"/>
      <c r="L129" s="1003"/>
      <c r="M129" s="1003"/>
    </row>
    <row r="130" spans="1:13">
      <c r="A130" s="3"/>
      <c r="E130" s="163"/>
      <c r="F130" s="163"/>
      <c r="G130" s="163"/>
      <c r="H130" s="167"/>
      <c r="I130" s="167"/>
      <c r="J130" s="158"/>
      <c r="K130" s="158"/>
      <c r="L130" s="158"/>
      <c r="M130" s="158"/>
    </row>
    <row r="131" spans="1:13">
      <c r="A131" s="3"/>
      <c r="E131" s="163"/>
      <c r="F131" s="163"/>
      <c r="G131" s="163"/>
      <c r="H131" s="189"/>
      <c r="I131" s="164"/>
      <c r="J131" s="163"/>
      <c r="K131" s="190"/>
      <c r="L131" s="190"/>
      <c r="M131" s="190"/>
    </row>
    <row r="132" spans="1:13">
      <c r="A132" s="3"/>
      <c r="B132" s="1" t="s">
        <v>176</v>
      </c>
      <c r="C132" s="154"/>
      <c r="D132" s="154"/>
      <c r="E132" s="163"/>
      <c r="F132" s="163"/>
      <c r="G132" s="163"/>
      <c r="H132" s="1040">
        <f>H124-H128</f>
        <v>9381562.4837150127</v>
      </c>
      <c r="I132" s="1040"/>
      <c r="J132" s="1041">
        <f>J124-J128</f>
        <v>3306272.3014430054</v>
      </c>
      <c r="K132" s="1041"/>
      <c r="L132" s="1039">
        <f t="shared" ref="L132" si="30">H132+J132</f>
        <v>12687834.785158018</v>
      </c>
      <c r="M132" s="1039"/>
    </row>
    <row r="133" spans="1:13">
      <c r="A133" s="3"/>
      <c r="B133" s="1"/>
      <c r="C133" s="154"/>
      <c r="D133" s="154"/>
      <c r="E133" s="163"/>
      <c r="F133" s="163"/>
      <c r="G133" s="163"/>
      <c r="H133" s="322"/>
      <c r="I133" s="322"/>
      <c r="L133" s="321"/>
      <c r="M133" s="321"/>
    </row>
    <row r="134" spans="1:13">
      <c r="A134" s="3"/>
      <c r="B134" s="7"/>
      <c r="C134" s="154"/>
      <c r="D134" s="154"/>
      <c r="E134" s="154"/>
      <c r="F134" s="154"/>
      <c r="G134" s="154"/>
      <c r="H134" s="283"/>
      <c r="I134" s="284"/>
      <c r="J134" s="285"/>
      <c r="K134" s="286"/>
      <c r="L134" s="286"/>
      <c r="M134" s="287"/>
    </row>
    <row r="135" spans="1:13">
      <c r="A135" s="1"/>
      <c r="B135" s="1" t="s">
        <v>110</v>
      </c>
      <c r="C135" s="8"/>
      <c r="D135" s="8"/>
      <c r="E135" s="1004" t="s">
        <v>111</v>
      </c>
      <c r="F135" s="1004"/>
      <c r="G135" s="8"/>
      <c r="H135" s="1024" t="s">
        <v>11</v>
      </c>
      <c r="I135" s="1024"/>
      <c r="J135" s="8"/>
      <c r="K135" s="1004" t="s">
        <v>112</v>
      </c>
      <c r="L135" s="1004"/>
      <c r="M135" s="1004"/>
    </row>
    <row r="136" spans="1:13">
      <c r="A136" s="1"/>
      <c r="B136" s="1"/>
      <c r="C136" s="8"/>
      <c r="D136" s="8"/>
      <c r="E136" s="1"/>
      <c r="F136" s="1"/>
      <c r="G136" s="8"/>
      <c r="H136" s="100"/>
      <c r="I136" s="100"/>
      <c r="J136" s="8"/>
      <c r="K136" s="1"/>
      <c r="L136" s="1"/>
      <c r="M136" s="1"/>
    </row>
    <row r="137" spans="1:13" ht="14.45" customHeight="1">
      <c r="A137" s="1"/>
      <c r="B137" s="1" t="s">
        <v>113</v>
      </c>
      <c r="C137" s="1"/>
      <c r="D137" s="1"/>
      <c r="E137" s="1004" t="s">
        <v>114</v>
      </c>
      <c r="F137" s="1004"/>
      <c r="G137" s="1038" t="s">
        <v>172</v>
      </c>
      <c r="H137" s="1038"/>
      <c r="I137" s="1038"/>
      <c r="J137" s="1038"/>
      <c r="K137" s="289" t="s">
        <v>173</v>
      </c>
      <c r="L137" s="289"/>
      <c r="M137" s="290"/>
    </row>
    <row r="138" spans="1:13">
      <c r="A138" s="1"/>
      <c r="B138" s="1004" t="s">
        <v>117</v>
      </c>
      <c r="C138" s="1004"/>
      <c r="D138" s="1"/>
      <c r="E138" s="1004" t="s">
        <v>174</v>
      </c>
      <c r="F138" s="1004"/>
      <c r="G138" s="1"/>
      <c r="H138" s="1"/>
      <c r="I138" s="1"/>
      <c r="J138" s="1"/>
      <c r="K138" s="1004" t="s">
        <v>119</v>
      </c>
      <c r="L138" s="1004"/>
      <c r="M138" s="1004"/>
    </row>
    <row r="139" spans="1:1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54"/>
    </row>
  </sheetData>
  <mergeCells count="85">
    <mergeCell ref="E137:F137"/>
    <mergeCell ref="G137:J137"/>
    <mergeCell ref="B138:C138"/>
    <mergeCell ref="E138:F138"/>
    <mergeCell ref="K138:M138"/>
    <mergeCell ref="H132:I132"/>
    <mergeCell ref="J132:K132"/>
    <mergeCell ref="L132:M132"/>
    <mergeCell ref="E135:F135"/>
    <mergeCell ref="H135:I135"/>
    <mergeCell ref="K135:M135"/>
    <mergeCell ref="H128:I128"/>
    <mergeCell ref="J128:K128"/>
    <mergeCell ref="L128:M128"/>
    <mergeCell ref="H129:I129"/>
    <mergeCell ref="J129:K129"/>
    <mergeCell ref="L129:M129"/>
    <mergeCell ref="H126:I126"/>
    <mergeCell ref="J126:K126"/>
    <mergeCell ref="L126:M126"/>
    <mergeCell ref="H127:I127"/>
    <mergeCell ref="J127:K127"/>
    <mergeCell ref="L127:M127"/>
    <mergeCell ref="E123:F123"/>
    <mergeCell ref="H123:I123"/>
    <mergeCell ref="J123:K123"/>
    <mergeCell ref="L123:M123"/>
    <mergeCell ref="H124:I124"/>
    <mergeCell ref="J124:K124"/>
    <mergeCell ref="L124:M124"/>
    <mergeCell ref="L121:M121"/>
    <mergeCell ref="E116:F116"/>
    <mergeCell ref="H116:I116"/>
    <mergeCell ref="J116:K116"/>
    <mergeCell ref="L116:M116"/>
    <mergeCell ref="E117:F117"/>
    <mergeCell ref="H117:I117"/>
    <mergeCell ref="J117:K117"/>
    <mergeCell ref="L117:M117"/>
    <mergeCell ref="E118:F118"/>
    <mergeCell ref="E119:F119"/>
    <mergeCell ref="E121:F121"/>
    <mergeCell ref="H121:I121"/>
    <mergeCell ref="J121:K121"/>
    <mergeCell ref="E114:F114"/>
    <mergeCell ref="H114:I114"/>
    <mergeCell ref="J114:K114"/>
    <mergeCell ref="L114:M114"/>
    <mergeCell ref="E115:F115"/>
    <mergeCell ref="H115:I115"/>
    <mergeCell ref="J115:K115"/>
    <mergeCell ref="L115:M115"/>
    <mergeCell ref="E112:F112"/>
    <mergeCell ref="H112:I112"/>
    <mergeCell ref="J112:K112"/>
    <mergeCell ref="L112:M112"/>
    <mergeCell ref="E113:F113"/>
    <mergeCell ref="H113:I113"/>
    <mergeCell ref="J113:K113"/>
    <mergeCell ref="L113:M113"/>
    <mergeCell ref="E110:F110"/>
    <mergeCell ref="H110:I110"/>
    <mergeCell ref="L110:M110"/>
    <mergeCell ref="E111:F111"/>
    <mergeCell ref="H111:I111"/>
    <mergeCell ref="J111:K111"/>
    <mergeCell ref="L111:M111"/>
    <mergeCell ref="L106:M106"/>
    <mergeCell ref="E107:F107"/>
    <mergeCell ref="H107:I107"/>
    <mergeCell ref="J107:K107"/>
    <mergeCell ref="L107:M107"/>
    <mergeCell ref="H108:I108"/>
    <mergeCell ref="B98:K98"/>
    <mergeCell ref="B99:K99"/>
    <mergeCell ref="C100:I100"/>
    <mergeCell ref="E106:F106"/>
    <mergeCell ref="H106:I106"/>
    <mergeCell ref="J106:K106"/>
    <mergeCell ref="A2:M2"/>
    <mergeCell ref="A3:M3"/>
    <mergeCell ref="C5:I5"/>
    <mergeCell ref="A9:F9"/>
    <mergeCell ref="G9:J9"/>
    <mergeCell ref="K9:M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1CE4-88EB-4992-9765-8047C9D26696}">
  <dimension ref="A2:P112"/>
  <sheetViews>
    <sheetView topLeftCell="A70" workbookViewId="0">
      <selection activeCell="F101" sqref="F101"/>
    </sheetView>
  </sheetViews>
  <sheetFormatPr baseColWidth="10" defaultRowHeight="15"/>
  <cols>
    <col min="1" max="1" width="8.85546875" customWidth="1"/>
    <col min="2" max="2" width="33" customWidth="1"/>
    <col min="6" max="6" width="16.85546875" customWidth="1"/>
    <col min="11" max="11" width="14.7109375" bestFit="1" customWidth="1"/>
    <col min="12" max="12" width="13.85546875" customWidth="1"/>
    <col min="13" max="13" width="15.42578125" customWidth="1"/>
    <col min="16" max="16" width="14.140625" bestFit="1" customWidth="1"/>
  </cols>
  <sheetData>
    <row r="2" spans="1:13">
      <c r="A2" s="1004" t="s">
        <v>0</v>
      </c>
      <c r="B2" s="1004"/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</row>
    <row r="3" spans="1:13">
      <c r="A3" s="1005" t="s">
        <v>1</v>
      </c>
      <c r="B3" s="1005"/>
      <c r="C3" s="1005"/>
      <c r="D3" s="1005"/>
      <c r="E3" s="1005"/>
      <c r="F3" s="1005"/>
      <c r="G3" s="1005"/>
      <c r="H3" s="1005"/>
      <c r="I3" s="1005"/>
      <c r="J3" s="1005"/>
      <c r="K3" s="1005"/>
      <c r="L3" s="1005"/>
      <c r="M3" s="1005"/>
    </row>
    <row r="4" spans="1:13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154" t="s">
        <v>120</v>
      </c>
    </row>
    <row r="5" spans="1:13">
      <c r="A5" s="3"/>
      <c r="B5" s="4" t="s">
        <v>2</v>
      </c>
      <c r="C5" s="1006" t="s">
        <v>731</v>
      </c>
      <c r="D5" s="1006"/>
      <c r="E5" s="1006"/>
      <c r="F5" s="1006"/>
      <c r="G5" s="1006"/>
      <c r="H5" s="1006"/>
      <c r="I5" s="1006"/>
      <c r="J5" s="3"/>
      <c r="K5" s="3"/>
      <c r="L5" s="4" t="s">
        <v>4</v>
      </c>
      <c r="M5" s="6" t="s">
        <v>732</v>
      </c>
    </row>
    <row r="6" spans="1:13">
      <c r="A6" s="3"/>
      <c r="B6" s="4" t="s">
        <v>5</v>
      </c>
      <c r="C6" s="7">
        <v>2</v>
      </c>
      <c r="D6" s="3"/>
      <c r="E6" s="8"/>
      <c r="F6" s="8"/>
      <c r="G6" s="8"/>
      <c r="H6" s="3"/>
      <c r="I6" s="3"/>
      <c r="J6" s="3"/>
      <c r="K6" s="3"/>
      <c r="L6" s="4" t="s">
        <v>6</v>
      </c>
      <c r="M6" s="6">
        <v>2418906.3459999999</v>
      </c>
    </row>
    <row r="7" spans="1:13">
      <c r="A7" s="3"/>
      <c r="B7" s="4" t="s">
        <v>7</v>
      </c>
      <c r="C7" s="8" t="s">
        <v>8</v>
      </c>
      <c r="D7" s="8"/>
      <c r="E7" s="8"/>
      <c r="F7" s="8" t="s">
        <v>124</v>
      </c>
      <c r="G7" s="11"/>
      <c r="H7" s="3"/>
      <c r="I7" s="3"/>
      <c r="J7" s="3"/>
      <c r="K7" s="3"/>
      <c r="L7" s="4" t="s">
        <v>9</v>
      </c>
      <c r="M7" s="13" t="s">
        <v>733</v>
      </c>
    </row>
    <row r="8" spans="1:13">
      <c r="A8" s="3"/>
      <c r="B8" s="4" t="s">
        <v>11</v>
      </c>
      <c r="C8" s="8" t="s">
        <v>734</v>
      </c>
      <c r="D8" s="8"/>
      <c r="E8" s="8"/>
      <c r="F8" s="8"/>
      <c r="H8" s="3"/>
      <c r="I8" s="3"/>
      <c r="J8" s="3"/>
      <c r="K8" s="3"/>
      <c r="L8" s="3"/>
      <c r="M8" s="3"/>
    </row>
    <row r="9" spans="1:13">
      <c r="A9" s="1007" t="s">
        <v>13</v>
      </c>
      <c r="B9" s="1007"/>
      <c r="C9" s="1007"/>
      <c r="D9" s="1007"/>
      <c r="E9" s="1007"/>
      <c r="F9" s="1007"/>
      <c r="G9" s="1008" t="s">
        <v>14</v>
      </c>
      <c r="H9" s="1008"/>
      <c r="I9" s="1008"/>
      <c r="J9" s="1008"/>
      <c r="K9" s="1009" t="s">
        <v>15</v>
      </c>
      <c r="L9" s="1009"/>
      <c r="M9" s="1009"/>
    </row>
    <row r="10" spans="1:13">
      <c r="A10" s="14" t="s">
        <v>16</v>
      </c>
      <c r="B10" s="15" t="s">
        <v>17</v>
      </c>
      <c r="C10" s="15" t="s">
        <v>18</v>
      </c>
      <c r="D10" s="15" t="s">
        <v>19</v>
      </c>
      <c r="E10" s="16" t="s">
        <v>20</v>
      </c>
      <c r="F10" s="16" t="s">
        <v>21</v>
      </c>
      <c r="G10" s="17" t="s">
        <v>22</v>
      </c>
      <c r="H10" s="17" t="s">
        <v>23</v>
      </c>
      <c r="I10" s="18" t="s">
        <v>24</v>
      </c>
      <c r="J10" s="19" t="s">
        <v>25</v>
      </c>
      <c r="K10" s="20" t="s">
        <v>22</v>
      </c>
      <c r="L10" s="21" t="s">
        <v>23</v>
      </c>
      <c r="M10" s="21" t="s">
        <v>24</v>
      </c>
    </row>
    <row r="11" spans="1:13">
      <c r="A11" s="877" t="s">
        <v>247</v>
      </c>
      <c r="B11" s="92" t="s">
        <v>735</v>
      </c>
      <c r="C11" s="62"/>
      <c r="D11" s="878"/>
      <c r="E11" s="879"/>
      <c r="F11" s="879"/>
      <c r="G11" s="880"/>
      <c r="H11" s="880"/>
      <c r="I11" s="881"/>
      <c r="J11" s="882"/>
      <c r="K11" s="883"/>
      <c r="L11" s="884"/>
      <c r="M11" s="884"/>
    </row>
    <row r="12" spans="1:13">
      <c r="A12" s="360">
        <v>1</v>
      </c>
      <c r="B12" s="432" t="s">
        <v>29</v>
      </c>
      <c r="C12" s="218" t="s">
        <v>30</v>
      </c>
      <c r="D12" s="885">
        <v>780</v>
      </c>
      <c r="E12" s="886">
        <v>60</v>
      </c>
      <c r="F12" s="887">
        <f>D12*E12</f>
        <v>46800</v>
      </c>
      <c r="G12" s="880">
        <v>780</v>
      </c>
      <c r="H12" s="880"/>
      <c r="I12" s="888">
        <f>G12+H12</f>
        <v>780</v>
      </c>
      <c r="J12" s="889">
        <f>I12/D12</f>
        <v>1</v>
      </c>
      <c r="K12" s="890">
        <f>G12*E12</f>
        <v>46800</v>
      </c>
      <c r="L12" s="891"/>
      <c r="M12" s="884">
        <f>K12+L12</f>
        <v>46800</v>
      </c>
    </row>
    <row r="13" spans="1:13">
      <c r="A13" s="360">
        <v>1.02</v>
      </c>
      <c r="B13" s="432" t="s">
        <v>736</v>
      </c>
      <c r="C13" s="218" t="s">
        <v>88</v>
      </c>
      <c r="D13" s="885">
        <v>1</v>
      </c>
      <c r="E13" s="886">
        <v>100000</v>
      </c>
      <c r="F13" s="887">
        <f>D13*E13</f>
        <v>100000</v>
      </c>
      <c r="G13" s="880">
        <v>0.5</v>
      </c>
      <c r="H13" s="880">
        <v>0.4</v>
      </c>
      <c r="I13" s="888">
        <f t="shared" ref="I13:I14" si="0">G13+H13</f>
        <v>0.9</v>
      </c>
      <c r="J13" s="889">
        <f t="shared" ref="J13:J14" si="1">I13/D13</f>
        <v>0.9</v>
      </c>
      <c r="K13" s="890">
        <f t="shared" ref="K13:K14" si="2">G13*E13</f>
        <v>50000</v>
      </c>
      <c r="L13" s="892">
        <f>H13*E13</f>
        <v>40000</v>
      </c>
      <c r="M13" s="884">
        <f t="shared" ref="M13:M14" si="3">K13+L13</f>
        <v>90000</v>
      </c>
    </row>
    <row r="14" spans="1:13">
      <c r="A14" s="360">
        <v>1.03</v>
      </c>
      <c r="B14" s="432" t="s">
        <v>287</v>
      </c>
      <c r="C14" s="218" t="s">
        <v>88</v>
      </c>
      <c r="D14" s="885">
        <v>1</v>
      </c>
      <c r="E14" s="886">
        <v>50000</v>
      </c>
      <c r="F14" s="887">
        <f>D14*E14</f>
        <v>50000</v>
      </c>
      <c r="G14" s="880">
        <v>0.4</v>
      </c>
      <c r="H14" s="880">
        <v>0.4</v>
      </c>
      <c r="I14" s="888">
        <f t="shared" si="0"/>
        <v>0.8</v>
      </c>
      <c r="J14" s="889">
        <f t="shared" si="1"/>
        <v>0.8</v>
      </c>
      <c r="K14" s="890">
        <f t="shared" si="2"/>
        <v>20000</v>
      </c>
      <c r="L14" s="892">
        <f>H14*E14</f>
        <v>20000</v>
      </c>
      <c r="M14" s="884">
        <f t="shared" si="3"/>
        <v>40000</v>
      </c>
    </row>
    <row r="15" spans="1:13">
      <c r="A15" s="379"/>
      <c r="B15" s="235" t="s">
        <v>44</v>
      </c>
      <c r="C15" s="218"/>
      <c r="D15" s="885"/>
      <c r="E15" s="886"/>
      <c r="F15" s="893">
        <f>SUM(F12:F14)</f>
        <v>196800</v>
      </c>
      <c r="G15" s="880"/>
      <c r="H15" s="880"/>
      <c r="I15" s="888"/>
      <c r="J15" s="894"/>
      <c r="K15" s="895">
        <f>SUM(K12:K14)</f>
        <v>116800</v>
      </c>
      <c r="L15" s="896">
        <f>SUM(L12:L14)</f>
        <v>60000</v>
      </c>
      <c r="M15" s="897">
        <f>SUM(M12:M14)</f>
        <v>176800</v>
      </c>
    </row>
    <row r="16" spans="1:13">
      <c r="A16" s="379">
        <v>2</v>
      </c>
      <c r="B16" s="235" t="s">
        <v>520</v>
      </c>
      <c r="C16" s="218"/>
      <c r="D16" s="885"/>
      <c r="E16" s="898"/>
      <c r="F16" s="887"/>
      <c r="G16" s="880"/>
      <c r="H16" s="880"/>
      <c r="I16" s="888"/>
      <c r="J16" s="894"/>
      <c r="K16" s="899"/>
      <c r="L16" s="892"/>
      <c r="M16" s="884"/>
    </row>
    <row r="17" spans="1:13">
      <c r="A17" s="360">
        <v>2.0099999999999998</v>
      </c>
      <c r="B17" s="432" t="s">
        <v>37</v>
      </c>
      <c r="C17" s="218" t="s">
        <v>38</v>
      </c>
      <c r="D17" s="885">
        <v>861.9</v>
      </c>
      <c r="E17" s="898">
        <f>233830.61/D17</f>
        <v>271.29668174962291</v>
      </c>
      <c r="F17" s="887">
        <f t="shared" ref="F17:F39" si="4">D17*E17</f>
        <v>233830.61</v>
      </c>
      <c r="G17" s="880">
        <v>795.6</v>
      </c>
      <c r="H17" s="880">
        <v>16.579999999999998</v>
      </c>
      <c r="I17" s="888">
        <f>G17+H17</f>
        <v>812.18000000000006</v>
      </c>
      <c r="J17" s="889">
        <f>I17/D17</f>
        <v>0.94231349344471527</v>
      </c>
      <c r="K17" s="900">
        <f>G17*E17</f>
        <v>215843.63999999998</v>
      </c>
      <c r="L17" s="901">
        <f>H17*E17</f>
        <v>4498.0989834087477</v>
      </c>
      <c r="M17" s="902">
        <f t="shared" ref="M17:M40" si="5">K17+L17</f>
        <v>220341.73898340872</v>
      </c>
    </row>
    <row r="18" spans="1:13">
      <c r="A18" s="360">
        <v>2.02</v>
      </c>
      <c r="B18" s="432" t="s">
        <v>288</v>
      </c>
      <c r="C18" s="218" t="s">
        <v>38</v>
      </c>
      <c r="D18" s="903">
        <v>69.62</v>
      </c>
      <c r="E18" s="898">
        <f>174374.89/D18</f>
        <v>2504.6666187877049</v>
      </c>
      <c r="F18" s="887">
        <f t="shared" si="4"/>
        <v>174374.89</v>
      </c>
      <c r="G18" s="880">
        <v>66.3</v>
      </c>
      <c r="H18" s="880"/>
      <c r="I18" s="888">
        <f t="shared" ref="I18:I29" si="6">G18+H18</f>
        <v>66.3</v>
      </c>
      <c r="J18" s="889">
        <f t="shared" ref="J18:J29" si="7">I18/D18</f>
        <v>0.95231255386383218</v>
      </c>
      <c r="K18" s="900">
        <f t="shared" ref="K18:K20" si="8">G18*E18</f>
        <v>166059.39682562483</v>
      </c>
      <c r="L18" s="901"/>
      <c r="M18" s="902">
        <f t="shared" si="5"/>
        <v>166059.39682562483</v>
      </c>
    </row>
    <row r="19" spans="1:13">
      <c r="A19" s="360">
        <v>2.0299999999999998</v>
      </c>
      <c r="B19" s="432" t="s">
        <v>253</v>
      </c>
      <c r="C19" s="218" t="s">
        <v>38</v>
      </c>
      <c r="D19" s="885">
        <v>142</v>
      </c>
      <c r="E19" s="904">
        <v>413</v>
      </c>
      <c r="F19" s="887">
        <f t="shared" si="4"/>
        <v>58646</v>
      </c>
      <c r="G19" s="880">
        <v>28.400000000000002</v>
      </c>
      <c r="H19" s="880">
        <v>100</v>
      </c>
      <c r="I19" s="888">
        <f t="shared" si="6"/>
        <v>128.4</v>
      </c>
      <c r="J19" s="889">
        <f t="shared" si="7"/>
        <v>0.90422535211267607</v>
      </c>
      <c r="K19" s="900">
        <f t="shared" si="8"/>
        <v>11729.2</v>
      </c>
      <c r="L19" s="901">
        <f>H19*E19</f>
        <v>41300</v>
      </c>
      <c r="M19" s="902">
        <f t="shared" si="5"/>
        <v>53029.2</v>
      </c>
    </row>
    <row r="20" spans="1:13" ht="24.75">
      <c r="A20" s="366">
        <v>2.04</v>
      </c>
      <c r="B20" s="432" t="s">
        <v>41</v>
      </c>
      <c r="C20" s="218" t="s">
        <v>38</v>
      </c>
      <c r="D20" s="885">
        <v>752.67</v>
      </c>
      <c r="E20" s="898">
        <f>56252.11/D20</f>
        <v>74.736750501547832</v>
      </c>
      <c r="F20" s="887">
        <f t="shared" si="4"/>
        <v>56252.11</v>
      </c>
      <c r="G20" s="880">
        <v>501.22800000000007</v>
      </c>
      <c r="H20" s="880">
        <v>150</v>
      </c>
      <c r="I20" s="888">
        <f t="shared" si="6"/>
        <v>651.22800000000007</v>
      </c>
      <c r="J20" s="889">
        <f t="shared" si="7"/>
        <v>0.86522380326039317</v>
      </c>
      <c r="K20" s="900">
        <f t="shared" si="8"/>
        <v>37460.151980389819</v>
      </c>
      <c r="L20" s="901">
        <f>H20*E20</f>
        <v>11210.512575232175</v>
      </c>
      <c r="M20" s="902">
        <f t="shared" si="5"/>
        <v>48670.664555621996</v>
      </c>
    </row>
    <row r="21" spans="1:13">
      <c r="A21" s="360"/>
      <c r="B21" s="235" t="s">
        <v>35</v>
      </c>
      <c r="C21" s="204"/>
      <c r="D21" s="905"/>
      <c r="E21" s="906"/>
      <c r="F21" s="893">
        <f>SUM(F17:F20)</f>
        <v>523103.61</v>
      </c>
      <c r="G21" s="880"/>
      <c r="H21" s="880"/>
      <c r="I21" s="888"/>
      <c r="J21" s="889"/>
      <c r="K21" s="895">
        <f>SUM(K17:K20)</f>
        <v>431092.38880601467</v>
      </c>
      <c r="L21" s="896">
        <f>SUM(L17:L20)</f>
        <v>57008.611558640921</v>
      </c>
      <c r="M21" s="897">
        <f t="shared" si="5"/>
        <v>488101.00036465557</v>
      </c>
    </row>
    <row r="22" spans="1:13">
      <c r="A22" s="379">
        <v>3</v>
      </c>
      <c r="B22" s="235" t="s">
        <v>737</v>
      </c>
      <c r="C22" s="218"/>
      <c r="D22" s="885"/>
      <c r="E22" s="898"/>
      <c r="F22" s="887"/>
      <c r="G22" s="880"/>
      <c r="H22" s="880"/>
      <c r="I22" s="888"/>
      <c r="J22" s="889"/>
      <c r="K22" s="890"/>
      <c r="L22" s="892"/>
      <c r="M22" s="884"/>
    </row>
    <row r="23" spans="1:13" ht="24">
      <c r="A23" s="390">
        <v>3.01</v>
      </c>
      <c r="B23" s="382" t="s">
        <v>738</v>
      </c>
      <c r="C23" s="218" t="s">
        <v>30</v>
      </c>
      <c r="D23" s="885">
        <v>819</v>
      </c>
      <c r="E23" s="898">
        <v>8351.69</v>
      </c>
      <c r="F23" s="887">
        <f t="shared" si="4"/>
        <v>6840034.1100000003</v>
      </c>
      <c r="G23" s="880">
        <v>780</v>
      </c>
      <c r="H23" s="880">
        <v>20</v>
      </c>
      <c r="I23" s="888">
        <f t="shared" si="6"/>
        <v>800</v>
      </c>
      <c r="J23" s="889">
        <f t="shared" si="7"/>
        <v>0.97680097680097677</v>
      </c>
      <c r="K23" s="890">
        <f t="shared" ref="K23" si="9">G23*E23</f>
        <v>6514318.2000000002</v>
      </c>
      <c r="L23" s="892">
        <f>H23*E23</f>
        <v>167033.80000000002</v>
      </c>
      <c r="M23" s="884">
        <f t="shared" si="5"/>
        <v>6681352</v>
      </c>
    </row>
    <row r="24" spans="1:13">
      <c r="A24" s="390"/>
      <c r="B24" s="432" t="s">
        <v>739</v>
      </c>
      <c r="C24" s="217"/>
      <c r="D24" s="885"/>
      <c r="E24" s="898"/>
      <c r="F24" s="893">
        <f>F23</f>
        <v>6840034.1100000003</v>
      </c>
      <c r="G24" s="880"/>
      <c r="H24" s="880"/>
      <c r="I24" s="888"/>
      <c r="J24" s="889"/>
      <c r="K24" s="907">
        <f>SUM(K23)</f>
        <v>6514318.2000000002</v>
      </c>
      <c r="L24" s="896">
        <f>SUM(L23)</f>
        <v>167033.80000000002</v>
      </c>
      <c r="M24" s="897">
        <f t="shared" si="5"/>
        <v>6681352</v>
      </c>
    </row>
    <row r="25" spans="1:13">
      <c r="A25" s="379">
        <v>4</v>
      </c>
      <c r="B25" s="43" t="s">
        <v>740</v>
      </c>
      <c r="C25" s="218"/>
      <c r="D25" s="885"/>
      <c r="E25" s="898"/>
      <c r="F25" s="887"/>
      <c r="G25" s="880"/>
      <c r="H25" s="880"/>
      <c r="I25" s="888"/>
      <c r="J25" s="889"/>
      <c r="K25" s="890"/>
      <c r="L25" s="892"/>
      <c r="M25" s="884"/>
    </row>
    <row r="26" spans="1:13" ht="24.75">
      <c r="A26" s="360">
        <v>4.01</v>
      </c>
      <c r="B26" s="129" t="s">
        <v>741</v>
      </c>
      <c r="C26" s="218" t="s">
        <v>30</v>
      </c>
      <c r="D26" s="885">
        <v>1576</v>
      </c>
      <c r="E26" s="898">
        <f>472634.12/D26</f>
        <v>299.89474619289342</v>
      </c>
      <c r="F26" s="887">
        <f>D26*E26</f>
        <v>472634.12000000005</v>
      </c>
      <c r="G26" s="880">
        <v>1576</v>
      </c>
      <c r="H26" s="880"/>
      <c r="I26" s="888">
        <f t="shared" si="6"/>
        <v>1576</v>
      </c>
      <c r="J26" s="889">
        <f t="shared" si="7"/>
        <v>1</v>
      </c>
      <c r="K26" s="890">
        <f t="shared" ref="K26" si="10">G26*E26</f>
        <v>472634.12000000005</v>
      </c>
      <c r="L26" s="892"/>
      <c r="M26" s="884">
        <f t="shared" si="5"/>
        <v>472634.12000000005</v>
      </c>
    </row>
    <row r="27" spans="1:13">
      <c r="A27" s="360">
        <v>4.0199999999999996</v>
      </c>
      <c r="B27" s="129" t="s">
        <v>334</v>
      </c>
      <c r="C27" s="218" t="s">
        <v>189</v>
      </c>
      <c r="D27" s="885">
        <v>667</v>
      </c>
      <c r="E27" s="898">
        <v>20</v>
      </c>
      <c r="F27" s="887">
        <f>D27*E27</f>
        <v>13340</v>
      </c>
      <c r="G27" s="880"/>
      <c r="H27" s="880">
        <f>D27/2</f>
        <v>333.5</v>
      </c>
      <c r="I27" s="888">
        <f t="shared" si="6"/>
        <v>333.5</v>
      </c>
      <c r="J27" s="889">
        <f t="shared" si="7"/>
        <v>0.5</v>
      </c>
      <c r="K27" s="908"/>
      <c r="L27" s="892">
        <f t="shared" ref="L27:L29" si="11">H27*E27</f>
        <v>6670</v>
      </c>
      <c r="M27" s="884">
        <f t="shared" si="5"/>
        <v>6670</v>
      </c>
    </row>
    <row r="28" spans="1:13" ht="24.75">
      <c r="A28" s="360">
        <v>4.03</v>
      </c>
      <c r="B28" s="129" t="s">
        <v>742</v>
      </c>
      <c r="C28" s="218" t="s">
        <v>38</v>
      </c>
      <c r="D28" s="885">
        <v>66.7</v>
      </c>
      <c r="E28" s="898">
        <v>9600</v>
      </c>
      <c r="F28" s="887">
        <f>D28*E28</f>
        <v>640320</v>
      </c>
      <c r="G28" s="880"/>
      <c r="H28" s="880">
        <f t="shared" ref="H28:H29" si="12">D28/2</f>
        <v>33.35</v>
      </c>
      <c r="I28" s="888">
        <f t="shared" si="6"/>
        <v>33.35</v>
      </c>
      <c r="J28" s="889">
        <f t="shared" si="7"/>
        <v>0.5</v>
      </c>
      <c r="K28" s="908"/>
      <c r="L28" s="892">
        <f t="shared" si="11"/>
        <v>320160</v>
      </c>
      <c r="M28" s="884">
        <f t="shared" si="5"/>
        <v>320160</v>
      </c>
    </row>
    <row r="29" spans="1:13" ht="24.75">
      <c r="A29" s="360">
        <v>4.04</v>
      </c>
      <c r="B29" s="909" t="s">
        <v>743</v>
      </c>
      <c r="C29" s="39" t="s">
        <v>38</v>
      </c>
      <c r="D29" s="910">
        <v>66.7</v>
      </c>
      <c r="E29" s="911">
        <f>840577.82/D29</f>
        <v>12602.366116941528</v>
      </c>
      <c r="F29" s="887">
        <f t="shared" si="4"/>
        <v>840577.82</v>
      </c>
      <c r="G29" s="880"/>
      <c r="H29" s="880">
        <f t="shared" si="12"/>
        <v>33.35</v>
      </c>
      <c r="I29" s="888">
        <f t="shared" si="6"/>
        <v>33.35</v>
      </c>
      <c r="J29" s="889">
        <f t="shared" si="7"/>
        <v>0.5</v>
      </c>
      <c r="K29" s="908"/>
      <c r="L29" s="901">
        <f t="shared" si="11"/>
        <v>420288.91</v>
      </c>
      <c r="M29" s="884">
        <f t="shared" si="5"/>
        <v>420288.91</v>
      </c>
    </row>
    <row r="30" spans="1:13">
      <c r="A30" s="360"/>
      <c r="B30" s="43" t="s">
        <v>35</v>
      </c>
      <c r="C30" s="204"/>
      <c r="D30" s="905"/>
      <c r="E30" s="906"/>
      <c r="F30" s="893">
        <f>SUM(F26:F29)</f>
        <v>1966871.94</v>
      </c>
      <c r="G30" s="880"/>
      <c r="H30" s="880"/>
      <c r="I30" s="888"/>
      <c r="J30" s="894"/>
      <c r="K30" s="907">
        <f>SUM(K26:K29)</f>
        <v>472634.12000000005</v>
      </c>
      <c r="L30" s="896">
        <f>SUM(L26:L29)</f>
        <v>747118.90999999992</v>
      </c>
      <c r="M30" s="897">
        <f t="shared" si="5"/>
        <v>1219753.03</v>
      </c>
    </row>
    <row r="31" spans="1:13" ht="24.75">
      <c r="A31" s="379">
        <v>5</v>
      </c>
      <c r="B31" s="43" t="s">
        <v>744</v>
      </c>
      <c r="C31" s="218"/>
      <c r="D31" s="885"/>
      <c r="E31" s="898"/>
      <c r="F31" s="887"/>
      <c r="G31" s="880"/>
      <c r="H31" s="880"/>
      <c r="I31" s="888"/>
      <c r="J31" s="894"/>
      <c r="K31" s="890"/>
      <c r="L31" s="891"/>
      <c r="M31" s="884"/>
    </row>
    <row r="32" spans="1:13">
      <c r="A32" s="360">
        <v>5.01</v>
      </c>
      <c r="B32" s="129" t="s">
        <v>745</v>
      </c>
      <c r="C32" s="218" t="s">
        <v>18</v>
      </c>
      <c r="D32" s="879">
        <v>9</v>
      </c>
      <c r="E32" s="898">
        <v>37444.1</v>
      </c>
      <c r="F32" s="887">
        <f>D32*E32</f>
        <v>336996.89999999997</v>
      </c>
      <c r="G32" s="880">
        <v>9</v>
      </c>
      <c r="H32" s="880"/>
      <c r="I32" s="888">
        <f t="shared" ref="I32" si="13">G32+H32</f>
        <v>9</v>
      </c>
      <c r="J32" s="889">
        <f t="shared" ref="J32" si="14">I32/D32</f>
        <v>1</v>
      </c>
      <c r="K32" s="890">
        <f t="shared" ref="K32" si="15">G32*E32</f>
        <v>336996.89999999997</v>
      </c>
      <c r="L32" s="891"/>
      <c r="M32" s="884">
        <f t="shared" si="5"/>
        <v>336996.89999999997</v>
      </c>
    </row>
    <row r="33" spans="1:13">
      <c r="A33" s="360"/>
      <c r="B33" s="43" t="s">
        <v>746</v>
      </c>
      <c r="C33" s="204"/>
      <c r="D33" s="912"/>
      <c r="E33" s="906"/>
      <c r="F33" s="893">
        <f>F32</f>
        <v>336996.89999999997</v>
      </c>
      <c r="G33" s="880"/>
      <c r="H33" s="880"/>
      <c r="I33" s="888"/>
      <c r="J33" s="894"/>
      <c r="K33" s="907">
        <f>SUM(K32)</f>
        <v>336996.89999999997</v>
      </c>
      <c r="L33" s="913"/>
      <c r="M33" s="897">
        <f t="shared" si="5"/>
        <v>336996.89999999997</v>
      </c>
    </row>
    <row r="34" spans="1:13" ht="24.75">
      <c r="A34" s="379">
        <v>6</v>
      </c>
      <c r="B34" s="235" t="s">
        <v>747</v>
      </c>
      <c r="C34" s="204"/>
      <c r="D34" s="912"/>
      <c r="E34" s="906"/>
      <c r="F34" s="887"/>
      <c r="G34" s="880"/>
      <c r="H34" s="880"/>
      <c r="I34" s="888"/>
      <c r="J34" s="894"/>
      <c r="K34" s="914"/>
      <c r="L34" s="915"/>
      <c r="M34" s="916"/>
    </row>
    <row r="35" spans="1:13" ht="48" customHeight="1">
      <c r="A35" s="366">
        <v>6.01</v>
      </c>
      <c r="B35" s="432" t="s">
        <v>748</v>
      </c>
      <c r="C35" s="218" t="s">
        <v>88</v>
      </c>
      <c r="D35" s="879">
        <v>1</v>
      </c>
      <c r="E35" s="898">
        <v>85000</v>
      </c>
      <c r="F35" s="887">
        <f t="shared" si="4"/>
        <v>85000</v>
      </c>
      <c r="G35" s="880">
        <v>1</v>
      </c>
      <c r="H35" s="880"/>
      <c r="I35" s="888">
        <f>G35+H35</f>
        <v>1</v>
      </c>
      <c r="J35" s="889">
        <f>H35/D35</f>
        <v>0</v>
      </c>
      <c r="K35" s="890">
        <f t="shared" ref="K35:K39" si="16">G35*E35</f>
        <v>85000</v>
      </c>
      <c r="L35" s="891"/>
      <c r="M35" s="884">
        <f t="shared" si="5"/>
        <v>85000</v>
      </c>
    </row>
    <row r="36" spans="1:13">
      <c r="A36" s="360">
        <v>6.02</v>
      </c>
      <c r="B36" s="432" t="s">
        <v>749</v>
      </c>
      <c r="C36" s="218" t="s">
        <v>38</v>
      </c>
      <c r="D36" s="879">
        <v>26.4</v>
      </c>
      <c r="E36" s="898">
        <f>7162.23/D36</f>
        <v>271.29659090909092</v>
      </c>
      <c r="F36" s="887">
        <f>E36*D36</f>
        <v>7162.23</v>
      </c>
      <c r="G36" s="880">
        <v>26.4</v>
      </c>
      <c r="H36" s="880"/>
      <c r="I36" s="888">
        <f>G36+H36</f>
        <v>26.4</v>
      </c>
      <c r="J36" s="889">
        <f>H36/D36</f>
        <v>0</v>
      </c>
      <c r="K36" s="900"/>
      <c r="L36" s="891"/>
      <c r="M36" s="884"/>
    </row>
    <row r="37" spans="1:13">
      <c r="A37" s="360">
        <v>6.03</v>
      </c>
      <c r="B37" s="432" t="s">
        <v>750</v>
      </c>
      <c r="C37" s="218" t="s">
        <v>38</v>
      </c>
      <c r="D37" s="879">
        <v>1.7</v>
      </c>
      <c r="E37" s="898">
        <f>3911.13/D37</f>
        <v>2300.6647058823532</v>
      </c>
      <c r="F37" s="887">
        <f t="shared" si="4"/>
        <v>3911.1300000000006</v>
      </c>
      <c r="G37" s="880">
        <v>1.7</v>
      </c>
      <c r="H37" s="880"/>
      <c r="I37" s="888">
        <f>G37+H37</f>
        <v>1.7</v>
      </c>
      <c r="J37" s="889">
        <f>H37/D37</f>
        <v>0</v>
      </c>
      <c r="K37" s="900">
        <f t="shared" si="16"/>
        <v>3911.1300000000006</v>
      </c>
      <c r="L37" s="891"/>
      <c r="M37" s="884">
        <f t="shared" si="5"/>
        <v>3911.1300000000006</v>
      </c>
    </row>
    <row r="38" spans="1:13">
      <c r="A38" s="917">
        <v>6.04</v>
      </c>
      <c r="B38" s="432" t="s">
        <v>253</v>
      </c>
      <c r="C38" s="218" t="s">
        <v>38</v>
      </c>
      <c r="D38" s="217">
        <v>2.21</v>
      </c>
      <c r="E38" s="886">
        <v>413</v>
      </c>
      <c r="F38" s="887">
        <f t="shared" si="4"/>
        <v>912.73</v>
      </c>
      <c r="G38" s="880">
        <v>2.21</v>
      </c>
      <c r="H38" s="880"/>
      <c r="I38" s="888">
        <f>G38+H38</f>
        <v>2.21</v>
      </c>
      <c r="J38" s="889">
        <f>H38/D38</f>
        <v>0</v>
      </c>
      <c r="K38" s="900">
        <f t="shared" si="16"/>
        <v>912.73</v>
      </c>
      <c r="L38" s="891"/>
      <c r="M38" s="884">
        <f t="shared" si="5"/>
        <v>912.73</v>
      </c>
    </row>
    <row r="39" spans="1:13" ht="24.75">
      <c r="A39" s="917">
        <v>6.05</v>
      </c>
      <c r="B39" s="129" t="s">
        <v>41</v>
      </c>
      <c r="C39" s="918" t="s">
        <v>38</v>
      </c>
      <c r="D39" s="919">
        <v>23.47</v>
      </c>
      <c r="E39" s="920">
        <f>1754.07/D39</f>
        <v>74.736685129953131</v>
      </c>
      <c r="F39" s="887">
        <f t="shared" si="4"/>
        <v>1754.07</v>
      </c>
      <c r="G39" s="880">
        <v>23.47</v>
      </c>
      <c r="H39" s="880"/>
      <c r="I39" s="888">
        <f>G39+H39</f>
        <v>23.47</v>
      </c>
      <c r="J39" s="889">
        <f>H39/D39</f>
        <v>0</v>
      </c>
      <c r="K39" s="900">
        <f t="shared" si="16"/>
        <v>1754.07</v>
      </c>
      <c r="L39" s="891"/>
      <c r="M39" s="884">
        <f t="shared" si="5"/>
        <v>1754.07</v>
      </c>
    </row>
    <row r="40" spans="1:13">
      <c r="A40" s="917"/>
      <c r="B40" s="43" t="s">
        <v>44</v>
      </c>
      <c r="C40" s="918"/>
      <c r="D40" s="919"/>
      <c r="E40" s="920"/>
      <c r="F40" s="893">
        <f>SUM(F35:F39)</f>
        <v>98740.160000000003</v>
      </c>
      <c r="G40" s="880"/>
      <c r="H40" s="880"/>
      <c r="I40" s="921"/>
      <c r="J40" s="922"/>
      <c r="K40" s="923">
        <f>SUM(K35:K39)</f>
        <v>91577.930000000008</v>
      </c>
      <c r="L40" s="913"/>
      <c r="M40" s="897">
        <f t="shared" si="5"/>
        <v>91577.930000000008</v>
      </c>
    </row>
    <row r="41" spans="1:13">
      <c r="A41" s="3"/>
      <c r="B41" s="848" t="s">
        <v>664</v>
      </c>
      <c r="C41" s="3"/>
      <c r="D41" s="3"/>
      <c r="E41" s="257"/>
      <c r="F41" s="924">
        <f>F40+F33+F30+F21+F15+F24+0.01</f>
        <v>9962546.7300000004</v>
      </c>
      <c r="G41" s="3"/>
      <c r="H41" s="3"/>
      <c r="I41" s="3"/>
      <c r="J41" s="3"/>
      <c r="K41" s="925">
        <f>K15+K21+K24+K30+K33+K40</f>
        <v>7963419.5388060147</v>
      </c>
      <c r="L41" s="926">
        <f>L15+L21+L24+L30+L40</f>
        <v>1031161.3215586408</v>
      </c>
      <c r="M41" s="927">
        <f>K41+L41</f>
        <v>8994580.860364655</v>
      </c>
    </row>
    <row r="42" spans="1:13">
      <c r="A42" s="3"/>
      <c r="B42" s="8"/>
      <c r="C42" s="3"/>
      <c r="D42" s="3"/>
      <c r="E42" s="257"/>
      <c r="F42" s="928"/>
      <c r="G42" s="3"/>
      <c r="H42" s="3"/>
      <c r="I42" s="3"/>
      <c r="J42" s="3"/>
      <c r="K42" s="162"/>
      <c r="L42" s="258"/>
      <c r="M42" s="258"/>
    </row>
    <row r="43" spans="1:13">
      <c r="A43" s="79"/>
      <c r="B43" s="848"/>
      <c r="C43" s="259"/>
      <c r="D43" s="259"/>
      <c r="E43" s="121"/>
      <c r="F43" s="149"/>
      <c r="G43" s="260"/>
      <c r="H43" s="261"/>
      <c r="I43" s="262"/>
      <c r="J43" s="263"/>
      <c r="K43" s="264"/>
      <c r="L43" s="265"/>
      <c r="M43" s="266"/>
    </row>
    <row r="44" spans="1:13">
      <c r="A44" s="79"/>
      <c r="B44" s="8"/>
      <c r="C44" s="3"/>
      <c r="D44" s="3"/>
      <c r="E44" s="121"/>
      <c r="F44" s="149"/>
      <c r="G44" s="260"/>
      <c r="H44" s="261"/>
      <c r="I44" s="262"/>
      <c r="J44" s="263"/>
      <c r="K44" s="264"/>
      <c r="L44" s="265"/>
      <c r="M44" s="266"/>
    </row>
    <row r="45" spans="1:13">
      <c r="A45" s="79"/>
      <c r="B45" s="5"/>
      <c r="C45" s="121"/>
      <c r="D45" s="121"/>
      <c r="E45" s="121"/>
      <c r="G45" s="260"/>
      <c r="H45" s="261"/>
      <c r="I45" s="262"/>
      <c r="J45" s="263"/>
      <c r="K45" s="264"/>
      <c r="L45" s="265"/>
      <c r="M45" s="266"/>
    </row>
    <row r="46" spans="1:13">
      <c r="A46" s="79"/>
      <c r="B46" s="5"/>
      <c r="C46" s="121"/>
      <c r="D46" s="121"/>
      <c r="E46" s="121"/>
      <c r="F46" s="149"/>
      <c r="G46" s="260"/>
      <c r="H46" s="261"/>
      <c r="I46" s="262"/>
      <c r="J46" s="263"/>
      <c r="K46" s="264"/>
      <c r="L46" s="265"/>
      <c r="M46" s="266"/>
    </row>
    <row r="47" spans="1:13">
      <c r="A47" s="79"/>
      <c r="B47" s="5"/>
      <c r="C47" s="121"/>
      <c r="D47" s="121"/>
      <c r="E47" s="121"/>
      <c r="F47" s="149"/>
      <c r="G47" s="260"/>
      <c r="H47" s="261"/>
      <c r="I47" s="262"/>
      <c r="J47" s="263"/>
      <c r="K47" s="264"/>
      <c r="L47" s="265"/>
      <c r="M47" s="266"/>
    </row>
    <row r="48" spans="1:13">
      <c r="A48" s="79"/>
      <c r="B48" s="5"/>
      <c r="C48" s="121"/>
      <c r="D48" s="121"/>
      <c r="E48" s="121"/>
      <c r="F48" s="149"/>
      <c r="G48" s="260"/>
      <c r="H48" s="261"/>
      <c r="I48" s="262"/>
      <c r="J48" s="263"/>
      <c r="K48" s="264"/>
      <c r="L48" s="265"/>
      <c r="M48" s="266"/>
    </row>
    <row r="49" spans="1:13">
      <c r="A49" s="79"/>
      <c r="B49" s="5"/>
      <c r="C49" s="121"/>
      <c r="D49" s="121"/>
      <c r="E49" s="121"/>
      <c r="F49" s="149"/>
      <c r="G49" s="260"/>
      <c r="H49" s="261"/>
      <c r="I49" s="262"/>
      <c r="J49" s="263"/>
      <c r="K49" s="264"/>
      <c r="L49" s="265"/>
      <c r="M49" s="266"/>
    </row>
    <row r="50" spans="1:13">
      <c r="A50" s="79"/>
      <c r="B50" s="5"/>
      <c r="C50" s="121"/>
      <c r="D50" s="121"/>
      <c r="E50" s="121"/>
      <c r="F50" s="149"/>
      <c r="G50" s="260"/>
      <c r="H50" s="261"/>
      <c r="I50" s="262"/>
      <c r="J50" s="263"/>
      <c r="K50" s="264"/>
      <c r="L50" s="265"/>
      <c r="M50" s="266"/>
    </row>
    <row r="51" spans="1:13">
      <c r="A51" s="79"/>
      <c r="B51" s="5"/>
      <c r="C51" s="121"/>
      <c r="D51" s="121"/>
      <c r="E51" s="121"/>
      <c r="F51" s="149"/>
      <c r="G51" s="260"/>
      <c r="H51" s="261"/>
      <c r="I51" s="262"/>
      <c r="J51" s="263"/>
      <c r="K51" s="264"/>
      <c r="L51" s="265"/>
      <c r="M51" s="266"/>
    </row>
    <row r="52" spans="1:13">
      <c r="A52" s="79"/>
      <c r="B52" s="5"/>
      <c r="C52" s="121"/>
      <c r="D52" s="121"/>
      <c r="E52" s="121"/>
      <c r="F52" s="149"/>
      <c r="G52" s="260"/>
      <c r="H52" s="261"/>
      <c r="I52" s="262"/>
      <c r="J52" s="263"/>
      <c r="K52" s="264"/>
      <c r="L52" s="265"/>
      <c r="M52" s="266"/>
    </row>
    <row r="53" spans="1:13">
      <c r="A53" s="79"/>
      <c r="B53" s="5"/>
      <c r="C53" s="121"/>
      <c r="D53" s="121"/>
      <c r="E53" s="121"/>
      <c r="F53" s="149"/>
      <c r="G53" s="260"/>
      <c r="H53" s="261"/>
      <c r="I53" s="262"/>
      <c r="J53" s="263"/>
      <c r="K53" s="264"/>
      <c r="L53" s="265"/>
      <c r="M53" s="266"/>
    </row>
    <row r="54" spans="1:13">
      <c r="A54" s="79"/>
      <c r="B54" s="5"/>
      <c r="C54" s="121"/>
      <c r="D54" s="121"/>
      <c r="E54" s="121"/>
      <c r="F54" s="149"/>
      <c r="G54" s="260"/>
      <c r="H54" s="261"/>
      <c r="I54" s="262"/>
      <c r="J54" s="263"/>
      <c r="K54" s="264"/>
      <c r="L54" s="265"/>
      <c r="M54" s="266"/>
    </row>
    <row r="55" spans="1:13">
      <c r="A55" s="79"/>
      <c r="B55" s="5"/>
      <c r="C55" s="121"/>
      <c r="D55" s="121"/>
      <c r="E55" s="121"/>
      <c r="F55" s="149"/>
      <c r="G55" s="260"/>
      <c r="H55" s="261"/>
      <c r="I55" s="262"/>
      <c r="J55" s="263"/>
      <c r="K55" s="264"/>
      <c r="L55" s="265"/>
      <c r="M55" s="266"/>
    </row>
    <row r="56" spans="1:13">
      <c r="A56" s="79"/>
      <c r="B56" s="5"/>
      <c r="C56" s="121"/>
      <c r="D56" s="121"/>
      <c r="E56" s="121"/>
      <c r="F56" s="149"/>
      <c r="G56" s="260"/>
      <c r="H56" s="261"/>
      <c r="I56" s="262"/>
      <c r="J56" s="263"/>
      <c r="K56" s="264"/>
      <c r="L56" s="265"/>
      <c r="M56" s="266"/>
    </row>
    <row r="57" spans="1:13">
      <c r="A57" s="79"/>
      <c r="B57" s="5"/>
      <c r="C57" s="121"/>
      <c r="D57" s="121"/>
      <c r="E57" s="121"/>
      <c r="F57" s="149"/>
      <c r="G57" s="260"/>
      <c r="H57" s="261"/>
      <c r="I57" s="262"/>
      <c r="J57" s="263"/>
      <c r="K57" s="264"/>
      <c r="L57" s="265"/>
      <c r="M57" s="266"/>
    </row>
    <row r="58" spans="1:13">
      <c r="A58" s="79"/>
      <c r="B58" s="5"/>
      <c r="C58" s="121"/>
      <c r="D58" s="121"/>
      <c r="E58" s="121"/>
      <c r="F58" s="149"/>
      <c r="G58" s="260"/>
      <c r="H58" s="261"/>
      <c r="I58" s="262"/>
      <c r="J58" s="263"/>
      <c r="K58" s="264"/>
      <c r="L58" s="265"/>
      <c r="M58" s="266"/>
    </row>
    <row r="59" spans="1:13">
      <c r="A59" s="79"/>
      <c r="B59" s="5"/>
      <c r="C59" s="121"/>
      <c r="D59" s="121"/>
      <c r="E59" s="121"/>
      <c r="F59" s="149"/>
      <c r="G59" s="260"/>
      <c r="H59" s="261"/>
      <c r="I59" s="262"/>
      <c r="J59" s="263"/>
      <c r="K59" s="264"/>
      <c r="L59" s="265"/>
      <c r="M59" s="266"/>
    </row>
    <row r="60" spans="1:13">
      <c r="A60" s="79"/>
      <c r="B60" s="5"/>
      <c r="C60" s="121"/>
      <c r="D60" s="121"/>
      <c r="E60" s="121"/>
      <c r="F60" s="149"/>
      <c r="G60" s="260"/>
      <c r="H60" s="261"/>
      <c r="I60" s="262"/>
      <c r="J60" s="263"/>
      <c r="K60" s="264"/>
      <c r="L60" s="265"/>
      <c r="M60" s="266"/>
    </row>
    <row r="61" spans="1:13">
      <c r="A61" s="79"/>
      <c r="B61" s="5"/>
      <c r="C61" s="121"/>
      <c r="D61" s="121"/>
      <c r="E61" s="121"/>
      <c r="F61" s="149"/>
      <c r="G61" s="260"/>
      <c r="H61" s="261"/>
      <c r="I61" s="262"/>
      <c r="J61" s="263"/>
      <c r="K61" s="264"/>
      <c r="L61" s="265"/>
      <c r="M61" s="266"/>
    </row>
    <row r="62" spans="1:13">
      <c r="A62" s="79"/>
      <c r="B62" s="5"/>
      <c r="C62" s="121"/>
      <c r="D62" s="121"/>
      <c r="E62" s="121"/>
      <c r="F62" s="149"/>
      <c r="G62" s="260"/>
      <c r="H62" s="261"/>
      <c r="I62" s="262"/>
      <c r="J62" s="263"/>
      <c r="K62" s="264"/>
      <c r="L62" s="265"/>
      <c r="M62" s="266"/>
    </row>
    <row r="63" spans="1:13">
      <c r="A63" s="79"/>
      <c r="B63" s="5"/>
      <c r="C63" s="121"/>
      <c r="D63" s="121"/>
      <c r="E63" s="121"/>
      <c r="F63" s="149"/>
      <c r="G63" s="260"/>
      <c r="H63" s="261"/>
      <c r="I63" s="262"/>
      <c r="J63" s="263"/>
      <c r="K63" s="264"/>
      <c r="L63" s="265"/>
      <c r="M63" s="266"/>
    </row>
    <row r="64" spans="1:13">
      <c r="A64" s="79"/>
      <c r="B64" s="5"/>
      <c r="C64" s="121"/>
      <c r="D64" s="121"/>
      <c r="E64" s="121"/>
      <c r="F64" s="149"/>
      <c r="G64" s="260"/>
      <c r="H64" s="261"/>
      <c r="I64" s="262"/>
      <c r="J64" s="263"/>
      <c r="K64" s="264"/>
      <c r="L64" s="265"/>
      <c r="M64" s="266"/>
    </row>
    <row r="65" spans="1:13">
      <c r="A65" s="79"/>
      <c r="B65" s="5"/>
      <c r="C65" s="121"/>
      <c r="D65" s="121"/>
      <c r="E65" s="121"/>
      <c r="F65" s="149"/>
      <c r="G65" s="260"/>
      <c r="H65" s="261"/>
      <c r="I65" s="262"/>
      <c r="J65" s="263"/>
      <c r="K65" s="264"/>
      <c r="L65" s="265"/>
      <c r="M65" s="266"/>
    </row>
    <row r="66" spans="1:13">
      <c r="A66" s="79"/>
      <c r="B66" s="5"/>
      <c r="C66" s="121"/>
      <c r="D66" s="121"/>
      <c r="E66" s="121"/>
      <c r="F66" s="149"/>
      <c r="G66" s="260"/>
      <c r="H66" s="261"/>
      <c r="I66" s="262"/>
      <c r="J66" s="263"/>
      <c r="K66" s="264"/>
      <c r="L66" s="265"/>
      <c r="M66" s="266"/>
    </row>
    <row r="67" spans="1:13">
      <c r="A67" s="79"/>
      <c r="B67" s="5"/>
      <c r="C67" s="121"/>
      <c r="D67" s="121"/>
      <c r="E67" s="121"/>
      <c r="F67" s="149"/>
      <c r="G67" s="260"/>
      <c r="H67" s="261"/>
      <c r="I67" s="262"/>
      <c r="J67" s="263"/>
      <c r="K67" s="264"/>
      <c r="L67" s="265"/>
      <c r="M67" s="266"/>
    </row>
    <row r="68" spans="1:13">
      <c r="A68" s="79"/>
      <c r="B68" s="5"/>
      <c r="C68" s="121"/>
      <c r="D68" s="121"/>
      <c r="E68" s="121"/>
      <c r="F68" s="149"/>
      <c r="G68" s="260"/>
      <c r="H68" s="261"/>
      <c r="I68" s="262"/>
      <c r="J68" s="263"/>
      <c r="K68" s="264"/>
      <c r="L68" s="265"/>
      <c r="M68" s="266"/>
    </row>
    <row r="69" spans="1:13">
      <c r="A69" s="79"/>
      <c r="B69" s="5"/>
      <c r="C69" s="121"/>
      <c r="D69" s="121"/>
      <c r="E69" s="121"/>
      <c r="F69" s="149"/>
      <c r="G69" s="260"/>
      <c r="H69" s="261"/>
      <c r="I69" s="262"/>
      <c r="J69" s="263"/>
      <c r="K69" s="264"/>
      <c r="L69" s="265"/>
      <c r="M69" s="266"/>
    </row>
    <row r="70" spans="1:13">
      <c r="A70" s="79"/>
      <c r="B70" s="5"/>
      <c r="C70" s="121"/>
      <c r="D70" s="121"/>
      <c r="E70" s="121"/>
      <c r="F70" s="149"/>
      <c r="G70" s="260"/>
      <c r="H70" s="261"/>
      <c r="I70" s="262"/>
      <c r="J70" s="263"/>
      <c r="K70" s="264"/>
      <c r="L70" s="265"/>
      <c r="M70" s="266"/>
    </row>
    <row r="71" spans="1:13">
      <c r="A71" s="79"/>
      <c r="B71" s="5"/>
      <c r="C71" s="121"/>
      <c r="D71" s="121"/>
      <c r="E71" s="121"/>
      <c r="F71" s="149"/>
      <c r="G71" s="260"/>
      <c r="H71" s="261"/>
      <c r="I71" s="262"/>
      <c r="J71" s="263"/>
      <c r="K71" s="264"/>
      <c r="L71" s="265"/>
      <c r="M71" s="266"/>
    </row>
    <row r="72" spans="1:13">
      <c r="A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</row>
    <row r="73" spans="1:13">
      <c r="A73" s="2"/>
      <c r="B73" s="1051" t="s">
        <v>162</v>
      </c>
      <c r="C73" s="1052"/>
      <c r="D73" s="1052"/>
      <c r="E73" s="1052"/>
      <c r="F73" s="1052"/>
      <c r="G73" s="1052"/>
      <c r="H73" s="1052"/>
      <c r="I73" s="1052"/>
      <c r="J73" s="1052"/>
      <c r="K73" s="1053"/>
      <c r="L73" s="8"/>
      <c r="M73" s="8"/>
    </row>
    <row r="74" spans="1:13">
      <c r="A74" s="2"/>
      <c r="B74" s="1005" t="s">
        <v>1</v>
      </c>
      <c r="C74" s="1005"/>
      <c r="D74" s="1005"/>
      <c r="E74" s="1005"/>
      <c r="F74" s="1005"/>
      <c r="G74" s="1005"/>
      <c r="H74" s="1005"/>
      <c r="I74" s="1005"/>
      <c r="J74" s="1005"/>
      <c r="K74" s="1005"/>
      <c r="L74" s="150"/>
      <c r="M74" s="268" t="s">
        <v>163</v>
      </c>
    </row>
    <row r="75" spans="1:13">
      <c r="A75" s="3"/>
      <c r="B75" s="269" t="s">
        <v>164</v>
      </c>
      <c r="C75" s="1032" t="s">
        <v>751</v>
      </c>
      <c r="D75" s="1032"/>
      <c r="E75" s="1032"/>
      <c r="F75" s="1032"/>
      <c r="G75" s="1032"/>
      <c r="H75" s="1032"/>
      <c r="I75" s="1032"/>
      <c r="J75" s="3"/>
      <c r="K75" s="3"/>
      <c r="L75" s="4" t="s">
        <v>4</v>
      </c>
      <c r="M75" s="6" t="s">
        <v>732</v>
      </c>
    </row>
    <row r="76" spans="1:13">
      <c r="A76" s="3"/>
      <c r="B76" s="4" t="s">
        <v>5</v>
      </c>
      <c r="C76" s="7">
        <v>2</v>
      </c>
      <c r="D76" s="3"/>
      <c r="E76" s="8"/>
      <c r="F76" s="8"/>
      <c r="G76" s="8"/>
      <c r="H76" s="3"/>
      <c r="I76" s="3"/>
      <c r="J76" s="3"/>
      <c r="K76" s="3"/>
      <c r="L76" s="4" t="s">
        <v>6</v>
      </c>
      <c r="M76" s="6">
        <v>2418906.3459999999</v>
      </c>
    </row>
    <row r="77" spans="1:13">
      <c r="A77" s="3"/>
      <c r="B77" s="4" t="s">
        <v>7</v>
      </c>
      <c r="C77" s="8" t="s">
        <v>8</v>
      </c>
      <c r="D77" s="8"/>
      <c r="E77" s="8"/>
      <c r="F77" s="8"/>
      <c r="G77" s="11"/>
      <c r="H77" s="3"/>
      <c r="I77" s="3"/>
      <c r="J77" s="3"/>
      <c r="K77" s="3"/>
      <c r="L77" s="4" t="s">
        <v>9</v>
      </c>
      <c r="M77" s="13" t="s">
        <v>733</v>
      </c>
    </row>
    <row r="78" spans="1:13">
      <c r="A78" s="3"/>
      <c r="B78" s="4" t="s">
        <v>11</v>
      </c>
      <c r="C78" s="8" t="s">
        <v>734</v>
      </c>
      <c r="D78" s="8"/>
      <c r="E78" s="8"/>
      <c r="F78" s="8"/>
      <c r="G78" s="8"/>
      <c r="H78" s="3"/>
      <c r="I78" s="3"/>
      <c r="J78" s="3"/>
      <c r="K78" s="3"/>
      <c r="L78" s="3"/>
      <c r="M78" s="3"/>
    </row>
    <row r="79" spans="1:13">
      <c r="A79" s="3"/>
      <c r="B79" s="4"/>
      <c r="C79" s="8"/>
      <c r="D79" s="8"/>
      <c r="E79" s="1004" t="s">
        <v>94</v>
      </c>
      <c r="F79" s="1004"/>
      <c r="G79" s="270"/>
      <c r="H79" s="1033" t="s">
        <v>22</v>
      </c>
      <c r="I79" s="1033"/>
      <c r="J79" s="1004" t="s">
        <v>23</v>
      </c>
      <c r="K79" s="1004"/>
      <c r="L79" s="1004" t="s">
        <v>24</v>
      </c>
      <c r="M79" s="1004"/>
    </row>
    <row r="80" spans="1:13">
      <c r="A80" s="3"/>
      <c r="B80" s="1004" t="s">
        <v>752</v>
      </c>
      <c r="C80" s="1004"/>
      <c r="D80" s="1004"/>
      <c r="E80" s="1048">
        <f>F41</f>
        <v>9962546.7300000004</v>
      </c>
      <c r="F80" s="1048"/>
      <c r="G80" s="926"/>
      <c r="H80" s="1048">
        <f>K41</f>
        <v>7963419.5388060147</v>
      </c>
      <c r="I80" s="1048"/>
      <c r="J80" s="1048">
        <f>L41</f>
        <v>1031161.3215586408</v>
      </c>
      <c r="K80" s="1048"/>
      <c r="L80" s="1048">
        <f>H80+J80</f>
        <v>8994580.860364655</v>
      </c>
      <c r="M80" s="1048"/>
    </row>
    <row r="81" spans="1:16">
      <c r="A81" s="3"/>
      <c r="B81" s="7" t="s">
        <v>167</v>
      </c>
      <c r="C81" s="8"/>
      <c r="D81" s="8"/>
      <c r="E81" s="162"/>
      <c r="F81" s="162"/>
      <c r="G81" s="162"/>
      <c r="H81" s="1011"/>
      <c r="I81" s="1011"/>
      <c r="J81" s="164"/>
      <c r="K81" s="164"/>
      <c r="L81" s="164"/>
      <c r="M81" s="164"/>
    </row>
    <row r="82" spans="1:16">
      <c r="A82" s="3"/>
      <c r="B82" s="7" t="s">
        <v>95</v>
      </c>
      <c r="C82" s="8"/>
      <c r="E82" s="273"/>
      <c r="F82" s="273"/>
      <c r="G82" s="273"/>
      <c r="H82" s="273"/>
      <c r="I82" s="273"/>
      <c r="J82" s="273"/>
      <c r="K82" s="273"/>
      <c r="L82" s="273"/>
      <c r="M82" s="273"/>
    </row>
    <row r="83" spans="1:16">
      <c r="A83" s="274"/>
      <c r="B83" s="7" t="s">
        <v>96</v>
      </c>
      <c r="C83" s="166"/>
      <c r="D83" s="166"/>
      <c r="E83" s="1010"/>
      <c r="F83" s="1010"/>
      <c r="G83" s="275"/>
      <c r="H83" s="1010"/>
      <c r="I83" s="1010"/>
      <c r="J83" s="162"/>
      <c r="K83" s="162"/>
      <c r="L83" s="1010"/>
      <c r="M83" s="1010"/>
    </row>
    <row r="84" spans="1:16">
      <c r="A84" s="274"/>
      <c r="B84" s="8" t="s">
        <v>98</v>
      </c>
      <c r="C84" s="166"/>
      <c r="D84" s="170">
        <v>3.5000000000000003E-2</v>
      </c>
      <c r="E84" s="1042">
        <f>D84*E80</f>
        <v>348689.13555000006</v>
      </c>
      <c r="F84" s="1042"/>
      <c r="G84" s="275"/>
      <c r="H84" s="1049">
        <f>H80*D84</f>
        <v>278719.68385821051</v>
      </c>
      <c r="I84" s="1049"/>
      <c r="J84" s="1050">
        <f>J80*D84</f>
        <v>36090.646254552434</v>
      </c>
      <c r="K84" s="1050"/>
      <c r="L84" s="1044">
        <f>H84+J84</f>
        <v>314810.33011276292</v>
      </c>
      <c r="M84" s="1044"/>
    </row>
    <row r="85" spans="1:16">
      <c r="A85" s="274"/>
      <c r="B85" s="8" t="s">
        <v>97</v>
      </c>
      <c r="C85" s="166"/>
      <c r="D85" s="168">
        <v>0.1</v>
      </c>
      <c r="E85" s="1042">
        <f>D85*E80</f>
        <v>996254.67300000007</v>
      </c>
      <c r="F85" s="1042"/>
      <c r="G85" s="275"/>
      <c r="H85" s="1049">
        <f>H80*D85</f>
        <v>796341.95388060156</v>
      </c>
      <c r="I85" s="1049"/>
      <c r="J85" s="1044">
        <f>J80*D85</f>
        <v>103116.13215586409</v>
      </c>
      <c r="K85" s="1044"/>
      <c r="L85" s="1044">
        <f t="shared" ref="L85:L90" si="17">H85+J85</f>
        <v>899458.0860364656</v>
      </c>
      <c r="M85" s="1044"/>
    </row>
    <row r="86" spans="1:16">
      <c r="A86" s="274"/>
      <c r="B86" s="8" t="s">
        <v>103</v>
      </c>
      <c r="C86" s="166"/>
      <c r="D86" s="168">
        <v>0.18</v>
      </c>
      <c r="E86" s="1042">
        <f>D86*E85</f>
        <v>179325.84114</v>
      </c>
      <c r="F86" s="1042"/>
      <c r="G86" s="275"/>
      <c r="H86" s="1049">
        <f>D86*H85</f>
        <v>143341.55169850826</v>
      </c>
      <c r="I86" s="1049"/>
      <c r="J86" s="1039">
        <f>J85*D86</f>
        <v>18560.903788055537</v>
      </c>
      <c r="K86" s="1039"/>
      <c r="L86" s="1044">
        <f t="shared" si="17"/>
        <v>161902.45548656379</v>
      </c>
      <c r="M86" s="1044"/>
    </row>
    <row r="87" spans="1:16">
      <c r="A87" s="274"/>
      <c r="B87" s="8" t="s">
        <v>100</v>
      </c>
      <c r="C87" s="168"/>
      <c r="D87" s="172">
        <v>0.03</v>
      </c>
      <c r="E87" s="1042">
        <f>D87*E80</f>
        <v>298876.4019</v>
      </c>
      <c r="F87" s="1042"/>
      <c r="G87" s="275"/>
      <c r="H87" s="1049">
        <f>H80*D87</f>
        <v>238902.58616418042</v>
      </c>
      <c r="I87" s="1049"/>
      <c r="J87" s="1050">
        <f>J80*D87</f>
        <v>30934.839646759225</v>
      </c>
      <c r="K87" s="1050"/>
      <c r="L87" s="1044">
        <f t="shared" si="17"/>
        <v>269837.42581093963</v>
      </c>
      <c r="M87" s="1044"/>
    </row>
    <row r="88" spans="1:16">
      <c r="A88" s="274"/>
      <c r="B88" s="8" t="s">
        <v>168</v>
      </c>
      <c r="C88" s="166"/>
      <c r="D88" s="166">
        <v>0.02</v>
      </c>
      <c r="E88" s="1042">
        <f>D88*E80</f>
        <v>199250.93460000001</v>
      </c>
      <c r="F88" s="1042"/>
      <c r="G88" s="275"/>
      <c r="H88" s="1049">
        <f>H80*D88</f>
        <v>159268.3907761203</v>
      </c>
      <c r="I88" s="1049"/>
      <c r="J88" s="1050">
        <f>J80*D88</f>
        <v>20623.226431172818</v>
      </c>
      <c r="K88" s="1050"/>
      <c r="L88" s="1044">
        <f t="shared" si="17"/>
        <v>179891.61720729311</v>
      </c>
      <c r="M88" s="1044"/>
    </row>
    <row r="89" spans="1:16">
      <c r="A89" s="274"/>
      <c r="B89" s="8" t="s">
        <v>101</v>
      </c>
      <c r="C89" s="166"/>
      <c r="D89" s="168">
        <v>0.01</v>
      </c>
      <c r="E89" s="1042">
        <f>D89*E80</f>
        <v>99625.467300000004</v>
      </c>
      <c r="F89" s="1042"/>
      <c r="G89" s="275"/>
      <c r="H89" s="1049">
        <f>H80*D89</f>
        <v>79634.19538806015</v>
      </c>
      <c r="I89" s="1049"/>
      <c r="J89" s="1039">
        <f>J80*D89</f>
        <v>10311.613215586409</v>
      </c>
      <c r="K89" s="1039"/>
      <c r="L89" s="1044">
        <f t="shared" si="17"/>
        <v>89945.808603646554</v>
      </c>
      <c r="M89" s="1044"/>
    </row>
    <row r="90" spans="1:16">
      <c r="A90" s="274"/>
      <c r="B90" s="8" t="s">
        <v>102</v>
      </c>
      <c r="C90" s="166"/>
      <c r="D90" s="166">
        <v>1E-3</v>
      </c>
      <c r="E90" s="1042">
        <f>D90*E80</f>
        <v>9962.54673</v>
      </c>
      <c r="F90" s="1042"/>
      <c r="G90" s="275"/>
      <c r="H90" s="1049">
        <f>H80*D90</f>
        <v>7963.4195388060152</v>
      </c>
      <c r="I90" s="1049"/>
      <c r="J90" s="1039">
        <f>J80*D90</f>
        <v>1031.1613215586408</v>
      </c>
      <c r="K90" s="1039"/>
      <c r="L90" s="1044">
        <f t="shared" si="17"/>
        <v>8994.5808603646565</v>
      </c>
      <c r="M90" s="1044"/>
    </row>
    <row r="91" spans="1:16">
      <c r="A91" s="274"/>
      <c r="B91" s="8"/>
      <c r="C91" s="166"/>
      <c r="D91" s="168"/>
      <c r="E91" s="1010"/>
      <c r="F91" s="1010"/>
      <c r="G91" s="275"/>
      <c r="H91" s="276"/>
      <c r="I91" s="276"/>
      <c r="J91" s="276"/>
      <c r="K91" s="276"/>
      <c r="L91" s="276"/>
      <c r="M91" s="277"/>
    </row>
    <row r="92" spans="1:16">
      <c r="A92" s="274"/>
      <c r="B92" s="8"/>
      <c r="C92" s="278"/>
      <c r="D92" s="168"/>
      <c r="E92" s="1010"/>
      <c r="F92" s="1010"/>
      <c r="G92" s="275"/>
      <c r="H92" s="1035"/>
      <c r="I92" s="1035"/>
      <c r="J92" s="1036"/>
      <c r="K92" s="1036"/>
      <c r="L92" s="1035"/>
      <c r="M92" s="1035"/>
    </row>
    <row r="93" spans="1:16">
      <c r="A93" s="274"/>
      <c r="B93" s="8"/>
      <c r="C93" s="278"/>
      <c r="D93" s="280"/>
      <c r="E93" s="1010"/>
      <c r="F93" s="1010"/>
      <c r="G93" s="275"/>
      <c r="H93" s="279"/>
      <c r="I93" s="279"/>
      <c r="J93" s="190"/>
      <c r="K93" s="190"/>
      <c r="L93" s="279"/>
      <c r="M93" s="279"/>
    </row>
    <row r="94" spans="1:16">
      <c r="A94" s="274"/>
      <c r="B94" s="8"/>
      <c r="C94" s="278"/>
      <c r="D94" s="168"/>
      <c r="E94" s="1010"/>
      <c r="F94" s="1010"/>
      <c r="G94" s="275"/>
      <c r="H94" s="279"/>
      <c r="I94" s="279"/>
      <c r="J94" s="190"/>
      <c r="K94" s="190"/>
      <c r="L94" s="279"/>
      <c r="M94" s="279"/>
    </row>
    <row r="95" spans="1:16">
      <c r="A95" s="274"/>
      <c r="B95" s="8"/>
      <c r="C95" s="278"/>
      <c r="D95" s="168"/>
      <c r="E95" s="167"/>
      <c r="F95" s="167"/>
      <c r="G95" s="275"/>
      <c r="H95" s="279"/>
      <c r="I95" s="279"/>
      <c r="J95" s="190"/>
      <c r="K95" s="190"/>
      <c r="L95" s="279"/>
      <c r="M95" s="279"/>
      <c r="P95" s="929"/>
    </row>
    <row r="96" spans="1:16">
      <c r="A96" s="274"/>
      <c r="B96" s="173" t="s">
        <v>104</v>
      </c>
      <c r="C96" s="168"/>
      <c r="D96" s="1"/>
      <c r="E96" s="1015">
        <f>SUM(E84:F92)</f>
        <v>2131985.0002200003</v>
      </c>
      <c r="F96" s="1015"/>
      <c r="G96" s="174"/>
      <c r="H96" s="1045">
        <f>SUM(H84:I95)</f>
        <v>1704171.781304487</v>
      </c>
      <c r="I96" s="1045"/>
      <c r="J96" s="1048">
        <f>SUM(J84:K90)</f>
        <v>220668.52281354915</v>
      </c>
      <c r="K96" s="1048"/>
      <c r="L96" s="1044">
        <f>H96+J96</f>
        <v>1924840.3041180363</v>
      </c>
      <c r="M96" s="1044"/>
    </row>
    <row r="97" spans="1:13">
      <c r="A97" s="274"/>
      <c r="B97" s="8"/>
      <c r="C97" s="281"/>
      <c r="D97" s="176"/>
      <c r="E97" s="1035"/>
      <c r="F97" s="1035"/>
      <c r="G97" s="275"/>
      <c r="H97" s="1036"/>
      <c r="I97" s="1036"/>
      <c r="J97" s="1036"/>
      <c r="K97" s="1036"/>
      <c r="L97" s="1047"/>
      <c r="M97" s="1047"/>
    </row>
    <row r="98" spans="1:13">
      <c r="A98" s="274"/>
      <c r="B98" s="179" t="s">
        <v>106</v>
      </c>
      <c r="C98" s="282"/>
      <c r="D98" s="154"/>
      <c r="E98" s="1015">
        <f>E80+E96</f>
        <v>12094531.730220001</v>
      </c>
      <c r="F98" s="1015"/>
      <c r="G98" s="181"/>
      <c r="H98" s="1045">
        <f>SUM(H80+H96)</f>
        <v>9667591.3201105017</v>
      </c>
      <c r="I98" s="1045"/>
      <c r="J98" s="1046">
        <f>J96+J80</f>
        <v>1251829.8443721901</v>
      </c>
      <c r="K98" s="1046"/>
      <c r="L98" s="1044">
        <f>H98+J98</f>
        <v>10919421.164482692</v>
      </c>
      <c r="M98" s="1044"/>
    </row>
    <row r="99" spans="1:13">
      <c r="A99" s="3"/>
      <c r="B99" s="182" t="s">
        <v>107</v>
      </c>
      <c r="C99" s="168"/>
      <c r="E99" s="164"/>
      <c r="F99" s="164"/>
      <c r="G99" s="164"/>
      <c r="H99" s="164"/>
      <c r="I99" s="164"/>
      <c r="J99" s="164"/>
      <c r="K99" s="164"/>
      <c r="L99" s="930"/>
      <c r="M99" s="930"/>
    </row>
    <row r="100" spans="1:13">
      <c r="A100" s="3"/>
      <c r="B100" s="8"/>
      <c r="C100" s="3"/>
      <c r="D100" s="168"/>
      <c r="E100" s="164"/>
      <c r="F100" s="162"/>
      <c r="G100" s="164"/>
      <c r="H100" s="1003"/>
      <c r="I100" s="1003"/>
      <c r="J100" s="1003"/>
      <c r="K100" s="1003"/>
      <c r="L100" s="1039"/>
      <c r="M100" s="1039"/>
    </row>
    <row r="101" spans="1:13">
      <c r="A101" s="3"/>
      <c r="B101" s="7"/>
      <c r="C101" s="154"/>
      <c r="D101" s="166"/>
      <c r="E101" s="164"/>
      <c r="F101" s="164"/>
      <c r="G101" s="164"/>
      <c r="H101" s="1003"/>
      <c r="I101" s="1003"/>
      <c r="J101" s="1003"/>
      <c r="K101" s="1003"/>
      <c r="L101" s="1039"/>
      <c r="M101" s="1039"/>
    </row>
    <row r="102" spans="1:13">
      <c r="A102" s="3"/>
      <c r="B102" s="7" t="s">
        <v>108</v>
      </c>
      <c r="C102" s="154"/>
      <c r="D102" s="186">
        <v>0.2</v>
      </c>
      <c r="E102" s="163"/>
      <c r="F102" s="163"/>
      <c r="G102" s="163"/>
      <c r="H102" s="1042">
        <f>H98*D102</f>
        <v>1933518.2640221005</v>
      </c>
      <c r="I102" s="1042"/>
      <c r="J102" s="1044">
        <f>J98*D102</f>
        <v>250365.96887443803</v>
      </c>
      <c r="K102" s="1044"/>
      <c r="L102" s="1044">
        <f>H102+J102</f>
        <v>2183884.2328965385</v>
      </c>
      <c r="M102" s="1044"/>
    </row>
    <row r="103" spans="1:13">
      <c r="A103" s="3"/>
      <c r="E103" s="163"/>
      <c r="F103" s="163"/>
      <c r="G103" s="163"/>
      <c r="H103" s="1010"/>
      <c r="I103" s="1010"/>
      <c r="J103" s="1039"/>
      <c r="K103" s="1039"/>
      <c r="L103" s="1039"/>
      <c r="M103" s="1039"/>
    </row>
    <row r="104" spans="1:13">
      <c r="A104" s="3"/>
      <c r="E104" s="163">
        <f>L98/E98*100</f>
        <v>90.283951524959676</v>
      </c>
      <c r="F104" s="163"/>
      <c r="G104" s="163"/>
      <c r="H104" s="189"/>
      <c r="I104" s="164"/>
      <c r="J104" s="931"/>
      <c r="K104" s="932"/>
      <c r="L104" s="932"/>
      <c r="M104" s="932"/>
    </row>
    <row r="105" spans="1:13">
      <c r="A105" s="3"/>
      <c r="B105" s="7" t="s">
        <v>171</v>
      </c>
      <c r="C105" s="154"/>
      <c r="D105" s="154"/>
      <c r="E105" s="163"/>
      <c r="F105" s="163"/>
      <c r="G105" s="163"/>
      <c r="H105" s="1042">
        <f>H98-H102</f>
        <v>7734073.056088401</v>
      </c>
      <c r="I105" s="1042"/>
      <c r="J105" s="1043">
        <f>J98-J102</f>
        <v>1001463.8754977521</v>
      </c>
      <c r="K105" s="1043"/>
      <c r="L105" s="1044">
        <f>H105+J105</f>
        <v>8735536.9315861538</v>
      </c>
      <c r="M105" s="1044"/>
    </row>
    <row r="106" spans="1:13">
      <c r="A106" s="3"/>
      <c r="B106" s="7"/>
      <c r="C106" s="154"/>
      <c r="D106" s="154"/>
      <c r="E106" s="163"/>
      <c r="F106" s="163"/>
      <c r="G106" s="163"/>
      <c r="H106" s="167"/>
      <c r="I106" s="167"/>
      <c r="L106" s="192"/>
      <c r="M106" s="192"/>
    </row>
    <row r="107" spans="1:13">
      <c r="A107" s="3"/>
      <c r="B107" s="7"/>
      <c r="C107" s="154"/>
      <c r="D107" s="154"/>
      <c r="E107" s="163"/>
      <c r="F107" s="163"/>
      <c r="G107" s="163"/>
      <c r="H107" s="167"/>
      <c r="I107" s="167"/>
      <c r="L107" s="192"/>
      <c r="M107" s="192"/>
    </row>
    <row r="108" spans="1:13">
      <c r="A108" s="3"/>
      <c r="B108" s="7"/>
      <c r="C108" s="154"/>
      <c r="D108" s="154"/>
      <c r="E108" s="154"/>
      <c r="F108" s="154"/>
      <c r="G108" s="154"/>
      <c r="H108" s="283"/>
      <c r="I108" s="284"/>
      <c r="J108" s="285"/>
      <c r="K108" s="286"/>
      <c r="L108" s="286"/>
      <c r="M108" s="287"/>
    </row>
    <row r="109" spans="1:13">
      <c r="A109" s="1"/>
      <c r="B109" s="1004" t="s">
        <v>110</v>
      </c>
      <c r="C109" s="1004"/>
      <c r="D109" s="1004" t="s">
        <v>111</v>
      </c>
      <c r="E109" s="1004"/>
      <c r="F109" s="1004"/>
      <c r="G109" s="1024" t="s">
        <v>11</v>
      </c>
      <c r="H109" s="1024"/>
      <c r="I109" s="1024"/>
      <c r="J109" s="1024"/>
      <c r="K109" s="1004" t="s">
        <v>112</v>
      </c>
      <c r="L109" s="1004"/>
      <c r="M109" s="1004"/>
    </row>
    <row r="110" spans="1:13">
      <c r="A110" s="1"/>
      <c r="B110" s="7"/>
      <c r="C110" s="1"/>
      <c r="D110" s="1004"/>
      <c r="E110" s="1004"/>
      <c r="F110" s="1004"/>
      <c r="G110" s="1004"/>
      <c r="H110" s="1004"/>
      <c r="I110" s="1004"/>
      <c r="J110" s="1"/>
      <c r="K110" s="1004"/>
      <c r="L110" s="1004"/>
      <c r="M110" s="1004"/>
    </row>
    <row r="111" spans="1:13">
      <c r="A111" s="1"/>
      <c r="B111" s="1004" t="s">
        <v>113</v>
      </c>
      <c r="C111" s="1004"/>
      <c r="E111" s="1" t="s">
        <v>114</v>
      </c>
      <c r="F111" s="1"/>
      <c r="G111" s="1004" t="s">
        <v>753</v>
      </c>
      <c r="H111" s="1004"/>
      <c r="I111" s="1004"/>
      <c r="J111" s="1004"/>
      <c r="K111" s="1022" t="s">
        <v>754</v>
      </c>
      <c r="L111" s="1022"/>
      <c r="M111" s="1022"/>
    </row>
    <row r="112" spans="1:13">
      <c r="B112" s="8" t="s">
        <v>117</v>
      </c>
      <c r="C112" s="8"/>
      <c r="E112" s="1" t="s">
        <v>118</v>
      </c>
      <c r="F112" s="1"/>
      <c r="G112" s="1024" t="s">
        <v>734</v>
      </c>
      <c r="H112" s="1024"/>
      <c r="I112" s="1024"/>
      <c r="J112" s="1024"/>
      <c r="K112" s="1" t="s">
        <v>730</v>
      </c>
      <c r="L112" s="1"/>
      <c r="M112" s="154"/>
    </row>
  </sheetData>
  <mergeCells count="95">
    <mergeCell ref="A2:M2"/>
    <mergeCell ref="A3:M3"/>
    <mergeCell ref="C5:I5"/>
    <mergeCell ref="A9:F9"/>
    <mergeCell ref="G9:J9"/>
    <mergeCell ref="K9:M9"/>
    <mergeCell ref="B73:K73"/>
    <mergeCell ref="B74:K74"/>
    <mergeCell ref="C75:I75"/>
    <mergeCell ref="E79:F79"/>
    <mergeCell ref="H79:I79"/>
    <mergeCell ref="J79:K79"/>
    <mergeCell ref="L79:M79"/>
    <mergeCell ref="B80:D80"/>
    <mergeCell ref="E80:F80"/>
    <mergeCell ref="H80:I80"/>
    <mergeCell ref="J80:K80"/>
    <mergeCell ref="L80:M80"/>
    <mergeCell ref="H81:I81"/>
    <mergeCell ref="E83:F83"/>
    <mergeCell ref="H83:I83"/>
    <mergeCell ref="L83:M83"/>
    <mergeCell ref="E84:F84"/>
    <mergeCell ref="H84:I84"/>
    <mergeCell ref="J84:K84"/>
    <mergeCell ref="L84:M84"/>
    <mergeCell ref="E85:F85"/>
    <mergeCell ref="H85:I85"/>
    <mergeCell ref="J85:K85"/>
    <mergeCell ref="L85:M85"/>
    <mergeCell ref="E86:F86"/>
    <mergeCell ref="H86:I86"/>
    <mergeCell ref="J86:K86"/>
    <mergeCell ref="L86:M86"/>
    <mergeCell ref="E87:F87"/>
    <mergeCell ref="H87:I87"/>
    <mergeCell ref="J87:K87"/>
    <mergeCell ref="L87:M87"/>
    <mergeCell ref="E88:F88"/>
    <mergeCell ref="H88:I88"/>
    <mergeCell ref="J88:K88"/>
    <mergeCell ref="L88:M88"/>
    <mergeCell ref="E89:F89"/>
    <mergeCell ref="H89:I89"/>
    <mergeCell ref="J89:K89"/>
    <mergeCell ref="L89:M89"/>
    <mergeCell ref="E90:F90"/>
    <mergeCell ref="H90:I90"/>
    <mergeCell ref="J90:K90"/>
    <mergeCell ref="L90:M90"/>
    <mergeCell ref="E97:F97"/>
    <mergeCell ref="H97:I97"/>
    <mergeCell ref="J97:K97"/>
    <mergeCell ref="L97:M97"/>
    <mergeCell ref="E91:F91"/>
    <mergeCell ref="E92:F92"/>
    <mergeCell ref="H92:I92"/>
    <mergeCell ref="J92:K92"/>
    <mergeCell ref="L92:M92"/>
    <mergeCell ref="E93:F93"/>
    <mergeCell ref="E94:F94"/>
    <mergeCell ref="E96:F96"/>
    <mergeCell ref="H96:I96"/>
    <mergeCell ref="J96:K96"/>
    <mergeCell ref="L96:M96"/>
    <mergeCell ref="E98:F98"/>
    <mergeCell ref="H98:I98"/>
    <mergeCell ref="J98:K98"/>
    <mergeCell ref="L98:M98"/>
    <mergeCell ref="H100:I100"/>
    <mergeCell ref="J100:K100"/>
    <mergeCell ref="L100:M100"/>
    <mergeCell ref="H101:I101"/>
    <mergeCell ref="J101:K101"/>
    <mergeCell ref="L101:M101"/>
    <mergeCell ref="H102:I102"/>
    <mergeCell ref="J102:K102"/>
    <mergeCell ref="L102:M102"/>
    <mergeCell ref="H103:I103"/>
    <mergeCell ref="J103:K103"/>
    <mergeCell ref="L103:M103"/>
    <mergeCell ref="H105:I105"/>
    <mergeCell ref="J105:K105"/>
    <mergeCell ref="L105:M105"/>
    <mergeCell ref="B111:C111"/>
    <mergeCell ref="G111:J111"/>
    <mergeCell ref="K111:M111"/>
    <mergeCell ref="G112:J112"/>
    <mergeCell ref="B109:C109"/>
    <mergeCell ref="D109:F109"/>
    <mergeCell ref="G109:J109"/>
    <mergeCell ref="K109:M109"/>
    <mergeCell ref="D110:F110"/>
    <mergeCell ref="G110:I110"/>
    <mergeCell ref="K110:M1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58A8-428A-49BC-AA4B-F0B995C4F339}">
  <dimension ref="A1:Q270"/>
  <sheetViews>
    <sheetView topLeftCell="A85" workbookViewId="0">
      <selection activeCell="G59" sqref="G59"/>
    </sheetView>
  </sheetViews>
  <sheetFormatPr baseColWidth="10" defaultColWidth="70.5703125" defaultRowHeight="15"/>
  <cols>
    <col min="1" max="1" width="8.85546875" customWidth="1"/>
    <col min="2" max="2" width="46.140625" customWidth="1"/>
    <col min="3" max="3" width="11.140625" style="417" customWidth="1"/>
    <col min="4" max="4" width="15.7109375" style="155" customWidth="1"/>
    <col min="5" max="5" width="12" customWidth="1"/>
    <col min="6" max="6" width="14.85546875" bestFit="1" customWidth="1"/>
    <col min="7" max="7" width="10.140625" customWidth="1"/>
    <col min="8" max="8" width="10.28515625" customWidth="1"/>
    <col min="9" max="9" width="14.5703125" customWidth="1"/>
    <col min="10" max="10" width="8.85546875" customWidth="1"/>
    <col min="11" max="11" width="11.28515625" customWidth="1"/>
    <col min="12" max="12" width="14.140625" customWidth="1"/>
    <col min="13" max="13" width="14.5703125" customWidth="1"/>
    <col min="14" max="14" width="18.7109375" customWidth="1"/>
    <col min="15" max="15" width="11.85546875" bestFit="1" customWidth="1"/>
  </cols>
  <sheetData>
    <row r="1" spans="1:13">
      <c r="A1" s="1004" t="s">
        <v>0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</row>
    <row r="2" spans="1:13">
      <c r="A2" s="1005" t="s">
        <v>1</v>
      </c>
      <c r="B2" s="1005"/>
      <c r="C2" s="1005"/>
      <c r="D2" s="1005"/>
      <c r="E2" s="1005"/>
      <c r="F2" s="1005"/>
      <c r="G2" s="1005"/>
      <c r="H2" s="1005"/>
      <c r="I2" s="1005"/>
      <c r="J2" s="1005"/>
      <c r="K2" s="1005"/>
      <c r="L2" s="1005"/>
      <c r="M2" s="1005"/>
    </row>
    <row r="3" spans="1:13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/>
    </row>
    <row r="4" spans="1:13" ht="35.25" customHeight="1">
      <c r="A4" s="3"/>
      <c r="B4" s="4" t="s">
        <v>2</v>
      </c>
      <c r="C4" s="1006" t="s">
        <v>177</v>
      </c>
      <c r="D4" s="1006"/>
      <c r="E4" s="1006"/>
      <c r="F4" s="1006"/>
      <c r="G4" s="323"/>
      <c r="H4" s="3"/>
      <c r="I4" s="3"/>
      <c r="J4" s="3"/>
      <c r="K4" s="3"/>
      <c r="L4" s="4" t="s">
        <v>4</v>
      </c>
      <c r="M4" s="6">
        <v>12047195.689999999</v>
      </c>
    </row>
    <row r="5" spans="1:13">
      <c r="A5" s="3"/>
      <c r="B5" s="4" t="s">
        <v>5</v>
      </c>
      <c r="C5" s="7">
        <v>1</v>
      </c>
      <c r="D5" s="154"/>
      <c r="E5" s="8"/>
      <c r="F5" s="8"/>
      <c r="G5" s="8"/>
      <c r="H5" s="3"/>
      <c r="I5" s="3"/>
      <c r="J5" s="3"/>
      <c r="K5" s="3"/>
      <c r="L5" s="4" t="s">
        <v>6</v>
      </c>
      <c r="M5" s="6">
        <f>M4*0.2</f>
        <v>2409439.1379999998</v>
      </c>
    </row>
    <row r="6" spans="1:13">
      <c r="A6" s="3"/>
      <c r="B6" s="4" t="s">
        <v>7</v>
      </c>
      <c r="C6" s="8" t="s">
        <v>178</v>
      </c>
      <c r="D6" s="1"/>
      <c r="E6" s="8"/>
      <c r="F6" s="8"/>
      <c r="G6" s="11"/>
      <c r="H6" s="3"/>
      <c r="I6" s="3"/>
      <c r="J6" s="3"/>
      <c r="K6" s="3"/>
      <c r="L6" s="4" t="s">
        <v>9</v>
      </c>
      <c r="M6" s="13" t="s">
        <v>179</v>
      </c>
    </row>
    <row r="7" spans="1:13">
      <c r="A7" s="3"/>
      <c r="B7" s="4" t="s">
        <v>11</v>
      </c>
      <c r="C7" s="8" t="s">
        <v>180</v>
      </c>
      <c r="D7" s="1"/>
      <c r="E7" s="8"/>
      <c r="F7" s="8"/>
      <c r="G7" s="8"/>
      <c r="H7" s="3"/>
      <c r="I7" s="3"/>
      <c r="J7" s="3"/>
      <c r="K7" s="3"/>
      <c r="L7" s="3"/>
      <c r="M7" s="3"/>
    </row>
    <row r="8" spans="1:13">
      <c r="A8" s="1031" t="s">
        <v>181</v>
      </c>
      <c r="B8" s="1031"/>
      <c r="C8" s="1031"/>
      <c r="D8" s="1031"/>
      <c r="E8" s="1031"/>
      <c r="F8" s="1031"/>
      <c r="G8" s="1054" t="s">
        <v>14</v>
      </c>
      <c r="H8" s="1054"/>
      <c r="I8" s="1054"/>
      <c r="J8" s="1054"/>
      <c r="K8" s="1055" t="s">
        <v>15</v>
      </c>
      <c r="L8" s="1055"/>
      <c r="M8" s="1055"/>
    </row>
    <row r="9" spans="1:13" ht="15.75" thickBot="1">
      <c r="A9" s="325" t="s">
        <v>16</v>
      </c>
      <c r="B9" s="326" t="s">
        <v>17</v>
      </c>
      <c r="C9" s="326" t="s">
        <v>18</v>
      </c>
      <c r="D9" s="326" t="s">
        <v>94</v>
      </c>
      <c r="E9" s="327" t="s">
        <v>20</v>
      </c>
      <c r="F9" s="328" t="s">
        <v>21</v>
      </c>
      <c r="G9" s="329" t="s">
        <v>22</v>
      </c>
      <c r="H9" s="329" t="s">
        <v>23</v>
      </c>
      <c r="I9" s="330" t="s">
        <v>24</v>
      </c>
      <c r="J9" s="324" t="s">
        <v>25</v>
      </c>
      <c r="K9" s="331" t="s">
        <v>22</v>
      </c>
      <c r="L9" s="332" t="s">
        <v>23</v>
      </c>
      <c r="M9" s="333" t="s">
        <v>24</v>
      </c>
    </row>
    <row r="10" spans="1:13">
      <c r="A10" s="334">
        <v>1</v>
      </c>
      <c r="B10" s="92" t="s">
        <v>182</v>
      </c>
      <c r="C10" s="62"/>
      <c r="D10" s="218"/>
      <c r="E10" s="335"/>
      <c r="F10" s="335"/>
      <c r="G10" s="336"/>
      <c r="H10" s="336"/>
      <c r="I10" s="337"/>
      <c r="J10" s="338"/>
      <c r="K10" s="339"/>
      <c r="L10" s="340"/>
      <c r="M10" s="341"/>
    </row>
    <row r="11" spans="1:13">
      <c r="A11" s="342">
        <v>1.01</v>
      </c>
      <c r="B11" s="62" t="s">
        <v>183</v>
      </c>
      <c r="C11" s="218" t="s">
        <v>184</v>
      </c>
      <c r="D11" s="343">
        <v>1</v>
      </c>
      <c r="E11" s="335">
        <v>57031.82</v>
      </c>
      <c r="F11" s="344">
        <f>D11*E11</f>
        <v>57031.82</v>
      </c>
      <c r="G11" s="345"/>
      <c r="H11" s="336"/>
      <c r="I11" s="346"/>
      <c r="J11" s="347"/>
      <c r="K11" s="348"/>
      <c r="L11" s="349"/>
      <c r="M11" s="350"/>
    </row>
    <row r="12" spans="1:13">
      <c r="A12" s="342"/>
      <c r="B12" s="92" t="s">
        <v>44</v>
      </c>
      <c r="C12" s="218"/>
      <c r="D12" s="343"/>
      <c r="E12" s="335"/>
      <c r="F12" s="351">
        <f>F11</f>
        <v>57031.82</v>
      </c>
      <c r="G12" s="336"/>
      <c r="H12" s="336"/>
      <c r="I12" s="352"/>
      <c r="J12" s="353"/>
      <c r="K12" s="348"/>
      <c r="L12" s="354"/>
      <c r="M12" s="355"/>
    </row>
    <row r="13" spans="1:13">
      <c r="A13" s="356" t="s">
        <v>185</v>
      </c>
      <c r="B13" s="357" t="s">
        <v>186</v>
      </c>
      <c r="C13" s="204"/>
      <c r="D13" s="358"/>
      <c r="E13" s="359"/>
      <c r="F13" s="351"/>
      <c r="G13" s="336"/>
      <c r="H13" s="336"/>
      <c r="I13" s="352"/>
      <c r="J13" s="353"/>
      <c r="K13" s="348"/>
      <c r="L13" s="354"/>
      <c r="M13" s="355"/>
    </row>
    <row r="14" spans="1:13">
      <c r="A14" s="360">
        <v>1.01</v>
      </c>
      <c r="B14" s="361" t="s">
        <v>187</v>
      </c>
      <c r="C14" s="362" t="s">
        <v>30</v>
      </c>
      <c r="D14" s="363">
        <v>6</v>
      </c>
      <c r="E14" s="364">
        <v>1688.17</v>
      </c>
      <c r="F14" s="344">
        <f>D14*E14</f>
        <v>10129.02</v>
      </c>
      <c r="G14" s="336"/>
      <c r="H14" s="336"/>
      <c r="I14" s="352"/>
      <c r="J14" s="353"/>
      <c r="K14" s="348"/>
      <c r="L14" s="349"/>
      <c r="M14" s="365"/>
    </row>
    <row r="15" spans="1:13">
      <c r="A15" s="366">
        <f>A14+0.01</f>
        <v>1.02</v>
      </c>
      <c r="B15" s="367" t="s">
        <v>188</v>
      </c>
      <c r="C15" s="362" t="s">
        <v>189</v>
      </c>
      <c r="D15" s="363">
        <v>18.05</v>
      </c>
      <c r="E15" s="368">
        <v>335.9</v>
      </c>
      <c r="F15" s="344">
        <f t="shared" ref="F15:F20" si="0">D15*E15</f>
        <v>6062.9949999999999</v>
      </c>
      <c r="G15" s="369"/>
      <c r="H15" s="370"/>
      <c r="I15" s="346"/>
      <c r="J15" s="347"/>
      <c r="K15" s="348"/>
      <c r="L15" s="371"/>
      <c r="M15" s="350"/>
    </row>
    <row r="16" spans="1:13">
      <c r="A16" s="366">
        <f t="shared" ref="A16:A20" si="1">A15+0.01</f>
        <v>1.03</v>
      </c>
      <c r="B16" s="62" t="s">
        <v>190</v>
      </c>
      <c r="C16" s="218" t="s">
        <v>189</v>
      </c>
      <c r="D16" s="363">
        <v>15.5</v>
      </c>
      <c r="E16" s="368">
        <v>335.9</v>
      </c>
      <c r="F16" s="344">
        <f t="shared" si="0"/>
        <v>5206.45</v>
      </c>
      <c r="G16" s="369"/>
      <c r="H16" s="370"/>
      <c r="I16" s="346"/>
      <c r="J16" s="347"/>
      <c r="K16" s="348"/>
      <c r="L16" s="371"/>
      <c r="M16" s="350"/>
    </row>
    <row r="17" spans="1:13">
      <c r="A17" s="366">
        <f t="shared" si="1"/>
        <v>1.04</v>
      </c>
      <c r="B17" s="62" t="s">
        <v>191</v>
      </c>
      <c r="C17" s="218" t="s">
        <v>38</v>
      </c>
      <c r="D17" s="363">
        <v>18.2</v>
      </c>
      <c r="E17" s="364">
        <v>9775</v>
      </c>
      <c r="F17" s="344">
        <f t="shared" si="0"/>
        <v>177905</v>
      </c>
      <c r="G17" s="336"/>
      <c r="H17" s="370"/>
      <c r="I17" s="346"/>
      <c r="J17" s="347"/>
      <c r="K17" s="348"/>
      <c r="L17" s="371"/>
      <c r="M17" s="350"/>
    </row>
    <row r="18" spans="1:13">
      <c r="A18" s="366">
        <f t="shared" si="1"/>
        <v>1.05</v>
      </c>
      <c r="B18" s="372" t="s">
        <v>192</v>
      </c>
      <c r="C18" s="373" t="s">
        <v>38</v>
      </c>
      <c r="D18" s="363">
        <v>18.2</v>
      </c>
      <c r="E18" s="364">
        <v>9775</v>
      </c>
      <c r="F18" s="344">
        <f t="shared" si="0"/>
        <v>177905</v>
      </c>
      <c r="G18" s="336"/>
      <c r="H18" s="370"/>
      <c r="I18" s="346"/>
      <c r="J18" s="347"/>
      <c r="K18" s="348"/>
      <c r="L18" s="371"/>
      <c r="M18" s="350"/>
    </row>
    <row r="19" spans="1:13">
      <c r="A19" s="366">
        <f t="shared" si="1"/>
        <v>1.06</v>
      </c>
      <c r="B19" s="374" t="s">
        <v>193</v>
      </c>
      <c r="C19" s="218" t="s">
        <v>38</v>
      </c>
      <c r="D19" s="363">
        <v>18.2</v>
      </c>
      <c r="E19" s="364">
        <v>1350</v>
      </c>
      <c r="F19" s="344">
        <f t="shared" si="0"/>
        <v>24570</v>
      </c>
      <c r="G19" s="336"/>
      <c r="H19" s="336"/>
      <c r="I19" s="352"/>
      <c r="J19" s="353"/>
      <c r="K19" s="348"/>
      <c r="L19" s="375"/>
      <c r="M19" s="376"/>
    </row>
    <row r="20" spans="1:13">
      <c r="A20" s="366">
        <f t="shared" si="1"/>
        <v>1.07</v>
      </c>
      <c r="B20" s="377" t="s">
        <v>194</v>
      </c>
      <c r="C20" s="218" t="s">
        <v>38</v>
      </c>
      <c r="D20" s="363">
        <v>18.2</v>
      </c>
      <c r="E20" s="364">
        <v>2400</v>
      </c>
      <c r="F20" s="344">
        <f t="shared" si="0"/>
        <v>43680</v>
      </c>
      <c r="G20" s="336"/>
      <c r="H20" s="336"/>
      <c r="I20" s="352"/>
      <c r="J20" s="353"/>
      <c r="K20" s="348"/>
      <c r="L20" s="371"/>
      <c r="M20" s="378"/>
    </row>
    <row r="21" spans="1:13">
      <c r="A21" s="366"/>
      <c r="B21" s="92" t="s">
        <v>44</v>
      </c>
      <c r="C21" s="218"/>
      <c r="D21" s="343"/>
      <c r="E21" s="335"/>
      <c r="F21" s="351">
        <f>SUM(F14:F20)</f>
        <v>445458.46499999997</v>
      </c>
      <c r="G21" s="336"/>
      <c r="H21" s="336"/>
      <c r="I21" s="346"/>
      <c r="J21" s="347"/>
      <c r="K21" s="348"/>
      <c r="L21" s="371"/>
      <c r="M21" s="350"/>
    </row>
    <row r="22" spans="1:13">
      <c r="A22" s="379" t="s">
        <v>195</v>
      </c>
      <c r="B22" s="235" t="s">
        <v>196</v>
      </c>
      <c r="C22" s="204"/>
      <c r="D22" s="358"/>
      <c r="E22" s="335"/>
      <c r="F22" s="344"/>
      <c r="G22" s="336"/>
      <c r="H22" s="336"/>
      <c r="I22" s="346"/>
      <c r="J22" s="347"/>
      <c r="K22" s="348"/>
      <c r="L22" s="371"/>
      <c r="M22" s="350"/>
    </row>
    <row r="23" spans="1:13">
      <c r="A23" s="360">
        <v>1.01</v>
      </c>
      <c r="B23" s="374" t="s">
        <v>197</v>
      </c>
      <c r="C23" s="218" t="s">
        <v>50</v>
      </c>
      <c r="D23" s="363">
        <v>2</v>
      </c>
      <c r="E23" s="364">
        <v>9000</v>
      </c>
      <c r="F23" s="344">
        <f t="shared" ref="F23:F26" si="2">D23*E23</f>
        <v>18000</v>
      </c>
      <c r="G23" s="336"/>
      <c r="H23" s="336"/>
      <c r="I23" s="352"/>
      <c r="J23" s="380"/>
      <c r="K23" s="348"/>
      <c r="L23" s="354"/>
      <c r="M23" s="355"/>
    </row>
    <row r="24" spans="1:13">
      <c r="A24" s="366">
        <f>A23+0.01</f>
        <v>1.02</v>
      </c>
      <c r="B24" s="374" t="s">
        <v>198</v>
      </c>
      <c r="C24" s="218" t="s">
        <v>50</v>
      </c>
      <c r="D24" s="363">
        <v>2</v>
      </c>
      <c r="E24" s="364">
        <v>45900</v>
      </c>
      <c r="F24" s="344">
        <f t="shared" si="2"/>
        <v>91800</v>
      </c>
      <c r="G24" s="336"/>
      <c r="H24" s="336"/>
      <c r="I24" s="352"/>
      <c r="J24" s="380"/>
      <c r="K24" s="339"/>
      <c r="L24" s="349"/>
      <c r="M24" s="341"/>
    </row>
    <row r="25" spans="1:13" ht="24">
      <c r="A25" s="366">
        <f t="shared" ref="A25:A28" si="3">A24+0.01</f>
        <v>1.03</v>
      </c>
      <c r="B25" s="381" t="s">
        <v>199</v>
      </c>
      <c r="C25" s="218" t="s">
        <v>50</v>
      </c>
      <c r="D25" s="363">
        <v>1</v>
      </c>
      <c r="E25" s="364">
        <v>10000</v>
      </c>
      <c r="F25" s="344">
        <f t="shared" si="2"/>
        <v>10000</v>
      </c>
      <c r="G25" s="336"/>
      <c r="H25" s="336"/>
      <c r="I25" s="352"/>
      <c r="J25" s="353"/>
      <c r="K25" s="348"/>
      <c r="L25" s="349"/>
      <c r="M25" s="341"/>
    </row>
    <row r="26" spans="1:13">
      <c r="A26" s="366">
        <f t="shared" si="3"/>
        <v>1.04</v>
      </c>
      <c r="B26" s="382" t="s">
        <v>200</v>
      </c>
      <c r="C26" s="218" t="s">
        <v>30</v>
      </c>
      <c r="D26" s="363">
        <v>3.5</v>
      </c>
      <c r="E26" s="364">
        <v>3549.74</v>
      </c>
      <c r="F26" s="344">
        <f t="shared" si="2"/>
        <v>12424.09</v>
      </c>
      <c r="G26" s="336"/>
      <c r="H26" s="336"/>
      <c r="I26" s="352"/>
      <c r="J26" s="380"/>
      <c r="K26" s="348"/>
      <c r="L26" s="349"/>
      <c r="M26" s="341"/>
    </row>
    <row r="27" spans="1:13">
      <c r="A27" s="366">
        <f t="shared" si="3"/>
        <v>1.05</v>
      </c>
      <c r="B27" s="382" t="s">
        <v>201</v>
      </c>
      <c r="C27" s="218" t="s">
        <v>50</v>
      </c>
      <c r="D27" s="363">
        <v>1</v>
      </c>
      <c r="E27" s="364">
        <v>31125</v>
      </c>
      <c r="F27" s="344">
        <f>D27*E27</f>
        <v>31125</v>
      </c>
      <c r="G27" s="336"/>
      <c r="H27" s="336"/>
      <c r="I27" s="352"/>
      <c r="J27" s="380"/>
      <c r="K27" s="339"/>
      <c r="L27" s="349"/>
      <c r="M27" s="341"/>
    </row>
    <row r="28" spans="1:13">
      <c r="A28" s="366">
        <f t="shared" si="3"/>
        <v>1.06</v>
      </c>
      <c r="B28" s="374" t="s">
        <v>202</v>
      </c>
      <c r="C28" s="218" t="s">
        <v>50</v>
      </c>
      <c r="D28" s="363">
        <v>1</v>
      </c>
      <c r="E28" s="364">
        <v>12500</v>
      </c>
      <c r="F28" s="344">
        <f>D28*E28</f>
        <v>12500</v>
      </c>
      <c r="G28" s="336"/>
      <c r="H28" s="336"/>
      <c r="I28" s="352"/>
      <c r="J28" s="353"/>
      <c r="K28" s="348"/>
      <c r="L28" s="349"/>
      <c r="M28" s="341"/>
    </row>
    <row r="29" spans="1:13">
      <c r="A29" s="356"/>
      <c r="B29" s="92" t="s">
        <v>44</v>
      </c>
      <c r="C29" s="218"/>
      <c r="D29" s="343"/>
      <c r="E29" s="335"/>
      <c r="F29" s="351">
        <f>SUM(F23:F28)</f>
        <v>175849.09</v>
      </c>
      <c r="G29" s="336"/>
      <c r="H29" s="336"/>
      <c r="I29" s="352"/>
      <c r="J29" s="353"/>
      <c r="K29" s="348"/>
      <c r="L29" s="349"/>
      <c r="M29" s="341"/>
    </row>
    <row r="30" spans="1:13" ht="24">
      <c r="A30" s="356" t="s">
        <v>203</v>
      </c>
      <c r="B30" s="383" t="s">
        <v>204</v>
      </c>
      <c r="C30" s="204"/>
      <c r="D30" s="358"/>
      <c r="E30" s="359"/>
      <c r="F30" s="344"/>
      <c r="G30" s="336"/>
      <c r="H30" s="370"/>
      <c r="I30" s="346"/>
      <c r="J30" s="347"/>
      <c r="K30" s="348"/>
      <c r="L30" s="371"/>
      <c r="M30" s="350"/>
    </row>
    <row r="31" spans="1:13">
      <c r="A31" s="379">
        <v>1</v>
      </c>
      <c r="B31" s="357" t="s">
        <v>205</v>
      </c>
      <c r="C31" s="218"/>
      <c r="D31" s="343"/>
      <c r="E31" s="364"/>
      <c r="F31" s="344"/>
      <c r="G31" s="336"/>
      <c r="H31" s="336"/>
      <c r="I31" s="346"/>
      <c r="J31" s="347"/>
      <c r="K31" s="348"/>
      <c r="L31" s="349"/>
      <c r="M31" s="341"/>
    </row>
    <row r="32" spans="1:13">
      <c r="A32" s="366">
        <f>A31+0.01</f>
        <v>1.01</v>
      </c>
      <c r="B32" s="382" t="s">
        <v>206</v>
      </c>
      <c r="C32" s="218" t="s">
        <v>50</v>
      </c>
      <c r="D32" s="343">
        <v>2</v>
      </c>
      <c r="E32" s="364">
        <v>38500</v>
      </c>
      <c r="F32" s="335">
        <f t="shared" ref="F32:F38" si="4">E32*D32</f>
        <v>77000</v>
      </c>
      <c r="G32" s="336"/>
      <c r="H32" s="370"/>
      <c r="I32" s="346"/>
      <c r="J32" s="347"/>
      <c r="K32" s="348"/>
      <c r="L32" s="371"/>
      <c r="M32" s="350"/>
    </row>
    <row r="33" spans="1:13">
      <c r="A33" s="366">
        <f t="shared" ref="A33:A35" si="5">A32+0.01</f>
        <v>1.02</v>
      </c>
      <c r="B33" s="382" t="s">
        <v>207</v>
      </c>
      <c r="C33" s="218" t="s">
        <v>50</v>
      </c>
      <c r="D33" s="343">
        <v>2</v>
      </c>
      <c r="E33" s="364">
        <v>2000</v>
      </c>
      <c r="F33" s="335">
        <f t="shared" si="4"/>
        <v>4000</v>
      </c>
      <c r="G33" s="336"/>
      <c r="H33" s="370"/>
      <c r="I33" s="346"/>
      <c r="J33" s="347"/>
      <c r="K33" s="348"/>
      <c r="L33" s="371"/>
      <c r="M33" s="350"/>
    </row>
    <row r="34" spans="1:13">
      <c r="A34" s="366">
        <f t="shared" si="5"/>
        <v>1.03</v>
      </c>
      <c r="B34" s="374" t="s">
        <v>208</v>
      </c>
      <c r="C34" s="218" t="s">
        <v>50</v>
      </c>
      <c r="D34" s="343">
        <v>2</v>
      </c>
      <c r="E34" s="364">
        <v>2800</v>
      </c>
      <c r="F34" s="335">
        <f t="shared" si="4"/>
        <v>5600</v>
      </c>
      <c r="G34" s="336"/>
      <c r="H34" s="336"/>
      <c r="I34" s="352"/>
      <c r="J34" s="353"/>
      <c r="K34" s="348"/>
      <c r="L34" s="354"/>
      <c r="M34" s="355"/>
    </row>
    <row r="35" spans="1:13">
      <c r="A35" s="366">
        <f t="shared" si="5"/>
        <v>1.04</v>
      </c>
      <c r="B35" s="374" t="s">
        <v>209</v>
      </c>
      <c r="C35" s="218"/>
      <c r="D35" s="343">
        <v>2</v>
      </c>
      <c r="E35" s="335">
        <v>3200</v>
      </c>
      <c r="F35" s="335">
        <f t="shared" si="4"/>
        <v>6400</v>
      </c>
      <c r="G35" s="384"/>
      <c r="H35" s="384"/>
      <c r="I35" s="385"/>
      <c r="J35" s="386"/>
      <c r="K35" s="339"/>
      <c r="L35" s="387"/>
      <c r="M35" s="355"/>
    </row>
    <row r="36" spans="1:13">
      <c r="A36" s="366"/>
      <c r="B36" s="92" t="s">
        <v>44</v>
      </c>
      <c r="C36" s="218"/>
      <c r="D36" s="343"/>
      <c r="E36" s="335"/>
      <c r="F36" s="359">
        <f>SUM(F31:F35)</f>
        <v>93000</v>
      </c>
      <c r="G36" s="384"/>
      <c r="H36" s="384"/>
      <c r="I36" s="385"/>
      <c r="J36" s="386"/>
      <c r="K36" s="339"/>
      <c r="L36" s="387"/>
      <c r="M36" s="355"/>
    </row>
    <row r="37" spans="1:13">
      <c r="A37" s="379" t="s">
        <v>210</v>
      </c>
      <c r="B37" s="357" t="s">
        <v>211</v>
      </c>
      <c r="C37" s="218"/>
      <c r="D37" s="343"/>
      <c r="E37" s="335"/>
      <c r="F37" s="359"/>
      <c r="G37" s="384"/>
      <c r="H37" s="384"/>
      <c r="I37" s="385"/>
      <c r="J37" s="386"/>
      <c r="K37" s="339"/>
      <c r="L37" s="387"/>
      <c r="M37" s="355"/>
    </row>
    <row r="38" spans="1:13">
      <c r="A38" s="360">
        <v>1.01</v>
      </c>
      <c r="B38" s="374" t="s">
        <v>212</v>
      </c>
      <c r="C38" s="218" t="s">
        <v>50</v>
      </c>
      <c r="D38" s="343">
        <v>4</v>
      </c>
      <c r="E38" s="364">
        <v>25252</v>
      </c>
      <c r="F38" s="335">
        <f t="shared" si="4"/>
        <v>101008</v>
      </c>
      <c r="G38" s="384"/>
      <c r="H38" s="384"/>
      <c r="I38" s="385"/>
      <c r="J38" s="386"/>
      <c r="K38" s="339"/>
      <c r="L38" s="387"/>
      <c r="M38" s="355"/>
    </row>
    <row r="39" spans="1:13">
      <c r="A39" s="366">
        <f>A38+0.01</f>
        <v>1.02</v>
      </c>
      <c r="B39" s="374" t="s">
        <v>207</v>
      </c>
      <c r="C39" s="218" t="s">
        <v>50</v>
      </c>
      <c r="D39" s="343">
        <v>4</v>
      </c>
      <c r="E39" s="364">
        <v>2000</v>
      </c>
      <c r="F39" s="335">
        <f>E39*D39</f>
        <v>8000</v>
      </c>
      <c r="G39" s="384"/>
      <c r="H39" s="384"/>
      <c r="I39" s="385"/>
      <c r="J39" s="386"/>
      <c r="K39" s="339"/>
      <c r="L39" s="387"/>
      <c r="M39" s="355"/>
    </row>
    <row r="40" spans="1:13">
      <c r="A40" s="366">
        <f t="shared" ref="A40:A41" si="6">A39+0.01</f>
        <v>1.03</v>
      </c>
      <c r="B40" s="374" t="s">
        <v>208</v>
      </c>
      <c r="C40" s="218" t="s">
        <v>50</v>
      </c>
      <c r="D40" s="343">
        <v>4</v>
      </c>
      <c r="E40" s="364">
        <v>1600</v>
      </c>
      <c r="F40" s="335">
        <f t="shared" ref="F40:F101" si="7">E40*D40</f>
        <v>6400</v>
      </c>
      <c r="G40" s="384"/>
      <c r="H40" s="384"/>
      <c r="I40" s="385"/>
      <c r="J40" s="386"/>
      <c r="K40" s="339"/>
      <c r="L40" s="387"/>
      <c r="M40" s="355"/>
    </row>
    <row r="41" spans="1:13">
      <c r="A41" s="366">
        <f t="shared" si="6"/>
        <v>1.04</v>
      </c>
      <c r="B41" s="374" t="s">
        <v>213</v>
      </c>
      <c r="C41" s="218" t="s">
        <v>50</v>
      </c>
      <c r="D41" s="343">
        <v>4</v>
      </c>
      <c r="E41" s="364">
        <v>1610</v>
      </c>
      <c r="F41" s="335">
        <f t="shared" si="7"/>
        <v>6440</v>
      </c>
      <c r="G41" s="384"/>
      <c r="H41" s="384"/>
      <c r="I41" s="385"/>
      <c r="J41" s="386"/>
      <c r="K41" s="339"/>
      <c r="L41" s="387"/>
      <c r="M41" s="355"/>
    </row>
    <row r="42" spans="1:13">
      <c r="A42" s="379"/>
      <c r="B42" s="92" t="s">
        <v>44</v>
      </c>
      <c r="C42" s="218"/>
      <c r="D42" s="217"/>
      <c r="E42" s="335"/>
      <c r="F42" s="359">
        <f>SUM(F38:F41)</f>
        <v>121848</v>
      </c>
      <c r="G42" s="384"/>
      <c r="H42" s="384"/>
      <c r="I42" s="385"/>
      <c r="J42" s="386"/>
      <c r="K42" s="339"/>
      <c r="L42" s="387"/>
      <c r="M42" s="355"/>
    </row>
    <row r="43" spans="1:13">
      <c r="A43" s="379" t="s">
        <v>214</v>
      </c>
      <c r="B43" s="357" t="s">
        <v>215</v>
      </c>
      <c r="C43" s="218"/>
      <c r="D43" s="217"/>
      <c r="E43" s="335"/>
      <c r="F43" s="359"/>
      <c r="G43" s="384"/>
      <c r="H43" s="384"/>
      <c r="I43" s="385"/>
      <c r="J43" s="386"/>
      <c r="K43" s="339"/>
      <c r="L43" s="387"/>
      <c r="M43" s="355"/>
    </row>
    <row r="44" spans="1:13">
      <c r="A44" s="360">
        <v>1.01</v>
      </c>
      <c r="B44" s="374" t="s">
        <v>216</v>
      </c>
      <c r="C44" s="218" t="s">
        <v>189</v>
      </c>
      <c r="D44" s="388">
        <v>118.98</v>
      </c>
      <c r="E44" s="368">
        <v>345</v>
      </c>
      <c r="F44" s="335">
        <f>E44*D44</f>
        <v>41048.1</v>
      </c>
      <c r="G44" s="384"/>
      <c r="H44" s="384"/>
      <c r="I44" s="385"/>
      <c r="J44" s="386"/>
      <c r="K44" s="339"/>
      <c r="L44" s="387"/>
      <c r="M44" s="355"/>
    </row>
    <row r="45" spans="1:13">
      <c r="A45" s="366">
        <f>A44+0.01</f>
        <v>1.02</v>
      </c>
      <c r="B45" s="374" t="s">
        <v>217</v>
      </c>
      <c r="C45" s="218" t="s">
        <v>189</v>
      </c>
      <c r="D45" s="388">
        <v>101.22</v>
      </c>
      <c r="E45" s="368">
        <v>345</v>
      </c>
      <c r="F45" s="335">
        <f t="shared" si="7"/>
        <v>34920.9</v>
      </c>
      <c r="G45" s="384"/>
      <c r="H45" s="384"/>
      <c r="I45" s="385"/>
      <c r="J45" s="386"/>
      <c r="K45" s="339"/>
      <c r="L45" s="387"/>
      <c r="M45" s="355"/>
    </row>
    <row r="46" spans="1:13">
      <c r="A46" s="366">
        <f t="shared" ref="A46:A48" si="8">A45+0.01</f>
        <v>1.03</v>
      </c>
      <c r="B46" s="374" t="s">
        <v>218</v>
      </c>
      <c r="C46" s="218" t="s">
        <v>189</v>
      </c>
      <c r="D46" s="388">
        <v>23.67</v>
      </c>
      <c r="E46" s="368">
        <v>157.30000000000001</v>
      </c>
      <c r="F46" s="335">
        <f t="shared" si="7"/>
        <v>3723.2910000000006</v>
      </c>
      <c r="G46" s="384"/>
      <c r="H46" s="384"/>
      <c r="I46" s="385"/>
      <c r="J46" s="386"/>
      <c r="K46" s="339"/>
      <c r="L46" s="387"/>
      <c r="M46" s="355"/>
    </row>
    <row r="47" spans="1:13" ht="24">
      <c r="A47" s="366">
        <f t="shared" si="8"/>
        <v>1.04</v>
      </c>
      <c r="B47" s="382" t="s">
        <v>219</v>
      </c>
      <c r="C47" s="218" t="s">
        <v>189</v>
      </c>
      <c r="D47" s="388">
        <v>257.39</v>
      </c>
      <c r="E47" s="368">
        <v>157.30000000000001</v>
      </c>
      <c r="F47" s="335">
        <f t="shared" si="7"/>
        <v>40487.447</v>
      </c>
      <c r="G47" s="384"/>
      <c r="H47" s="384"/>
      <c r="I47" s="385"/>
      <c r="J47" s="386"/>
      <c r="K47" s="339"/>
      <c r="L47" s="387"/>
      <c r="M47" s="355"/>
    </row>
    <row r="48" spans="1:13">
      <c r="A48" s="366">
        <f t="shared" si="8"/>
        <v>1.05</v>
      </c>
      <c r="B48" s="374" t="s">
        <v>220</v>
      </c>
      <c r="C48" s="218" t="s">
        <v>189</v>
      </c>
      <c r="D48" s="388">
        <v>364</v>
      </c>
      <c r="E48" s="368">
        <v>157.30000000000001</v>
      </c>
      <c r="F48" s="335">
        <f t="shared" si="7"/>
        <v>57257.200000000004</v>
      </c>
      <c r="G48" s="384"/>
      <c r="H48" s="384"/>
      <c r="I48" s="385"/>
      <c r="J48" s="386"/>
      <c r="K48" s="339"/>
      <c r="L48" s="387"/>
      <c r="M48" s="355"/>
    </row>
    <row r="49" spans="1:13">
      <c r="A49" s="379"/>
      <c r="B49" s="92" t="s">
        <v>44</v>
      </c>
      <c r="C49" s="218"/>
      <c r="D49" s="217"/>
      <c r="E49" s="335"/>
      <c r="F49" s="359">
        <f>SUM(F44:F48)</f>
        <v>177436.93799999999</v>
      </c>
      <c r="G49" s="384"/>
      <c r="H49" s="384"/>
      <c r="I49" s="385"/>
      <c r="J49" s="386"/>
      <c r="K49" s="339"/>
      <c r="L49" s="387"/>
      <c r="M49" s="355"/>
    </row>
    <row r="50" spans="1:13">
      <c r="A50" s="379" t="s">
        <v>221</v>
      </c>
      <c r="B50" s="357" t="s">
        <v>222</v>
      </c>
      <c r="C50" s="218"/>
      <c r="D50" s="217"/>
      <c r="E50" s="335"/>
      <c r="F50" s="359"/>
      <c r="G50" s="384"/>
      <c r="H50" s="384"/>
      <c r="I50" s="385"/>
      <c r="J50" s="386"/>
      <c r="K50" s="339"/>
      <c r="L50" s="387"/>
      <c r="M50" s="355"/>
    </row>
    <row r="51" spans="1:13">
      <c r="A51" s="360">
        <v>1.01</v>
      </c>
      <c r="B51" s="374" t="s">
        <v>223</v>
      </c>
      <c r="C51" s="218" t="s">
        <v>189</v>
      </c>
      <c r="D51" s="388">
        <v>254.8</v>
      </c>
      <c r="E51" s="364">
        <v>1665</v>
      </c>
      <c r="F51" s="335">
        <f t="shared" si="7"/>
        <v>424242</v>
      </c>
      <c r="G51" s="384"/>
      <c r="H51" s="384"/>
      <c r="I51" s="385"/>
      <c r="J51" s="386"/>
      <c r="K51" s="339"/>
      <c r="L51" s="387"/>
      <c r="M51" s="355"/>
    </row>
    <row r="52" spans="1:13">
      <c r="A52" s="366">
        <f>A51+0.01</f>
        <v>1.02</v>
      </c>
      <c r="B52" s="374" t="s">
        <v>224</v>
      </c>
      <c r="C52" s="218" t="s">
        <v>38</v>
      </c>
      <c r="D52" s="388">
        <v>14.33</v>
      </c>
      <c r="E52" s="364">
        <v>8435</v>
      </c>
      <c r="F52" s="335">
        <f t="shared" si="7"/>
        <v>120873.55</v>
      </c>
      <c r="G52" s="384"/>
      <c r="H52" s="384"/>
      <c r="I52" s="385"/>
      <c r="J52" s="386"/>
      <c r="K52" s="339"/>
      <c r="L52" s="387"/>
      <c r="M52" s="355"/>
    </row>
    <row r="53" spans="1:13">
      <c r="A53" s="366">
        <f t="shared" ref="A53:A55" si="9">A52+0.01</f>
        <v>1.03</v>
      </c>
      <c r="B53" s="374" t="s">
        <v>225</v>
      </c>
      <c r="C53" s="218" t="s">
        <v>38</v>
      </c>
      <c r="D53" s="388">
        <v>43.68</v>
      </c>
      <c r="E53" s="368">
        <v>159.91999999999999</v>
      </c>
      <c r="F53" s="335">
        <f t="shared" si="7"/>
        <v>6985.3055999999997</v>
      </c>
      <c r="G53" s="384"/>
      <c r="H53" s="384"/>
      <c r="I53" s="385"/>
      <c r="J53" s="386"/>
      <c r="K53" s="339"/>
      <c r="L53" s="387"/>
      <c r="M53" s="355"/>
    </row>
    <row r="54" spans="1:13">
      <c r="A54" s="366">
        <f t="shared" si="9"/>
        <v>1.04</v>
      </c>
      <c r="B54" s="374" t="s">
        <v>226</v>
      </c>
      <c r="C54" s="218" t="s">
        <v>38</v>
      </c>
      <c r="D54" s="388">
        <v>56.78</v>
      </c>
      <c r="E54" s="368">
        <v>280</v>
      </c>
      <c r="F54" s="335">
        <f t="shared" si="7"/>
        <v>15898.4</v>
      </c>
      <c r="G54" s="384"/>
      <c r="H54" s="384"/>
      <c r="I54" s="385"/>
      <c r="J54" s="386"/>
      <c r="K54" s="339"/>
      <c r="L54" s="387"/>
      <c r="M54" s="355"/>
    </row>
    <row r="55" spans="1:13">
      <c r="A55" s="366">
        <f t="shared" si="9"/>
        <v>1.05</v>
      </c>
      <c r="B55" s="374" t="s">
        <v>227</v>
      </c>
      <c r="C55" s="218" t="s">
        <v>189</v>
      </c>
      <c r="D55" s="388">
        <v>364</v>
      </c>
      <c r="E55" s="368">
        <v>335.9</v>
      </c>
      <c r="F55" s="335">
        <f t="shared" si="7"/>
        <v>122267.59999999999</v>
      </c>
      <c r="G55" s="384"/>
      <c r="H55" s="384"/>
      <c r="I55" s="385"/>
      <c r="J55" s="386"/>
      <c r="K55" s="339"/>
      <c r="L55" s="387"/>
      <c r="M55" s="355"/>
    </row>
    <row r="56" spans="1:13">
      <c r="A56" s="379"/>
      <c r="B56" s="92" t="s">
        <v>44</v>
      </c>
      <c r="C56" s="218"/>
      <c r="D56" s="388"/>
      <c r="E56" s="335"/>
      <c r="F56" s="359">
        <f>SUM(F51:F55)</f>
        <v>690266.85560000001</v>
      </c>
      <c r="G56" s="384"/>
      <c r="H56" s="384"/>
      <c r="I56" s="385"/>
      <c r="J56" s="386"/>
      <c r="K56" s="339"/>
      <c r="L56" s="387"/>
      <c r="M56" s="355"/>
    </row>
    <row r="57" spans="1:13">
      <c r="A57" s="379" t="s">
        <v>228</v>
      </c>
      <c r="B57" s="357" t="s">
        <v>229</v>
      </c>
      <c r="C57" s="218"/>
      <c r="D57" s="388"/>
      <c r="E57" s="335"/>
      <c r="F57" s="359"/>
      <c r="G57" s="384"/>
      <c r="H57" s="384"/>
      <c r="I57" s="385"/>
      <c r="J57" s="386"/>
      <c r="K57" s="339"/>
      <c r="L57" s="387"/>
      <c r="M57" s="355"/>
    </row>
    <row r="58" spans="1:13">
      <c r="A58" s="360">
        <v>1.01</v>
      </c>
      <c r="B58" s="374" t="s">
        <v>230</v>
      </c>
      <c r="C58" s="218" t="s">
        <v>88</v>
      </c>
      <c r="D58" s="388">
        <v>1</v>
      </c>
      <c r="E58" s="364">
        <v>14998.3</v>
      </c>
      <c r="F58" s="335">
        <f t="shared" si="7"/>
        <v>14998.3</v>
      </c>
      <c r="G58" s="384"/>
      <c r="H58" s="384"/>
      <c r="I58" s="385"/>
      <c r="J58" s="386"/>
      <c r="K58" s="339"/>
      <c r="L58" s="387"/>
      <c r="M58" s="355"/>
    </row>
    <row r="59" spans="1:13">
      <c r="A59" s="366">
        <f>A58+0.01</f>
        <v>1.02</v>
      </c>
      <c r="B59" s="374" t="s">
        <v>231</v>
      </c>
      <c r="C59" s="218" t="s">
        <v>88</v>
      </c>
      <c r="D59" s="388">
        <v>1</v>
      </c>
      <c r="E59" s="364">
        <v>16000</v>
      </c>
      <c r="F59" s="335">
        <f t="shared" si="7"/>
        <v>16000</v>
      </c>
      <c r="G59" s="384"/>
      <c r="H59" s="384"/>
      <c r="I59" s="385"/>
      <c r="J59" s="386"/>
      <c r="K59" s="339"/>
      <c r="L59" s="387"/>
      <c r="M59" s="355"/>
    </row>
    <row r="60" spans="1:13" ht="24">
      <c r="A60" s="366">
        <f t="shared" ref="A60:A61" si="10">A59+0.01</f>
        <v>1.03</v>
      </c>
      <c r="B60" s="382" t="s">
        <v>232</v>
      </c>
      <c r="C60" s="218" t="s">
        <v>88</v>
      </c>
      <c r="D60" s="388">
        <v>1</v>
      </c>
      <c r="E60" s="364">
        <v>12000</v>
      </c>
      <c r="F60" s="335">
        <f t="shared" si="7"/>
        <v>12000</v>
      </c>
      <c r="G60" s="384"/>
      <c r="H60" s="384"/>
      <c r="I60" s="385"/>
      <c r="J60" s="386"/>
      <c r="K60" s="339"/>
      <c r="L60" s="387"/>
      <c r="M60" s="355"/>
    </row>
    <row r="61" spans="1:13" ht="24">
      <c r="A61" s="366">
        <f t="shared" si="10"/>
        <v>1.04</v>
      </c>
      <c r="B61" s="382" t="s">
        <v>233</v>
      </c>
      <c r="C61" s="218" t="s">
        <v>88</v>
      </c>
      <c r="D61" s="389">
        <v>1</v>
      </c>
      <c r="E61" s="364">
        <v>7500</v>
      </c>
      <c r="F61" s="335">
        <f t="shared" si="7"/>
        <v>7500</v>
      </c>
      <c r="G61" s="384"/>
      <c r="H61" s="384"/>
      <c r="I61" s="385"/>
      <c r="J61" s="386"/>
      <c r="K61" s="339"/>
      <c r="L61" s="387"/>
      <c r="M61" s="355"/>
    </row>
    <row r="62" spans="1:13">
      <c r="A62" s="366"/>
      <c r="B62" s="92" t="s">
        <v>44</v>
      </c>
      <c r="C62" s="218"/>
      <c r="D62" s="217"/>
      <c r="E62" s="335"/>
      <c r="F62" s="359">
        <f>SUM(F58:F61)</f>
        <v>50498.3</v>
      </c>
      <c r="G62" s="384"/>
      <c r="H62" s="384"/>
      <c r="I62" s="385"/>
      <c r="J62" s="386"/>
      <c r="K62" s="339"/>
      <c r="L62" s="387"/>
      <c r="M62" s="355"/>
    </row>
    <row r="63" spans="1:13">
      <c r="A63" s="390" t="s">
        <v>26</v>
      </c>
      <c r="B63" s="357" t="s">
        <v>234</v>
      </c>
      <c r="C63" s="204"/>
      <c r="D63" s="205"/>
      <c r="E63" s="335"/>
      <c r="F63" s="359"/>
      <c r="G63" s="384"/>
      <c r="H63" s="384"/>
      <c r="I63" s="385"/>
      <c r="J63" s="386"/>
      <c r="K63" s="339"/>
      <c r="L63" s="387"/>
      <c r="M63" s="355"/>
    </row>
    <row r="64" spans="1:13">
      <c r="A64" s="360">
        <v>1.01</v>
      </c>
      <c r="B64" s="374" t="s">
        <v>235</v>
      </c>
      <c r="C64" s="218" t="s">
        <v>189</v>
      </c>
      <c r="D64" s="388">
        <v>40.799999999999997</v>
      </c>
      <c r="E64" s="368">
        <v>200</v>
      </c>
      <c r="F64" s="335">
        <f t="shared" si="7"/>
        <v>8159.9999999999991</v>
      </c>
      <c r="G64" s="384"/>
      <c r="H64" s="384"/>
      <c r="I64" s="385"/>
      <c r="J64" s="386"/>
      <c r="K64" s="339"/>
      <c r="L64" s="387"/>
      <c r="M64" s="355"/>
    </row>
    <row r="65" spans="1:13">
      <c r="A65" s="366">
        <f>A64+0.01</f>
        <v>1.02</v>
      </c>
      <c r="B65" s="374" t="s">
        <v>226</v>
      </c>
      <c r="C65" s="218" t="s">
        <v>38</v>
      </c>
      <c r="D65" s="388">
        <v>11.68</v>
      </c>
      <c r="E65" s="368">
        <v>280</v>
      </c>
      <c r="F65" s="335">
        <f t="shared" si="7"/>
        <v>3270.4</v>
      </c>
      <c r="G65" s="384"/>
      <c r="H65" s="384"/>
      <c r="I65" s="385"/>
      <c r="J65" s="386"/>
      <c r="K65" s="339"/>
      <c r="L65" s="387"/>
      <c r="M65" s="355"/>
    </row>
    <row r="66" spans="1:13">
      <c r="A66" s="366">
        <f t="shared" ref="A66:A67" si="11">A65+0.01</f>
        <v>1.03</v>
      </c>
      <c r="B66" s="374" t="s">
        <v>236</v>
      </c>
      <c r="C66" s="218" t="s">
        <v>38</v>
      </c>
      <c r="D66" s="388">
        <v>6.12</v>
      </c>
      <c r="E66" s="364">
        <v>16972</v>
      </c>
      <c r="F66" s="335">
        <f t="shared" si="7"/>
        <v>103868.64</v>
      </c>
      <c r="G66" s="384"/>
      <c r="H66" s="384"/>
      <c r="I66" s="385"/>
      <c r="J66" s="386"/>
      <c r="K66" s="339"/>
      <c r="L66" s="387"/>
      <c r="M66" s="355"/>
    </row>
    <row r="67" spans="1:13">
      <c r="A67" s="366">
        <f t="shared" si="11"/>
        <v>1.04</v>
      </c>
      <c r="B67" s="374" t="s">
        <v>237</v>
      </c>
      <c r="C67" s="218" t="s">
        <v>189</v>
      </c>
      <c r="D67" s="388">
        <v>40.86</v>
      </c>
      <c r="E67" s="368">
        <v>349.89</v>
      </c>
      <c r="F67" s="335">
        <f t="shared" si="7"/>
        <v>14296.5054</v>
      </c>
      <c r="G67" s="384"/>
      <c r="H67" s="384"/>
      <c r="I67" s="385"/>
      <c r="J67" s="386"/>
      <c r="K67" s="339"/>
      <c r="L67" s="387"/>
      <c r="M67" s="355"/>
    </row>
    <row r="68" spans="1:13">
      <c r="A68" s="366"/>
      <c r="B68" s="92" t="s">
        <v>44</v>
      </c>
      <c r="C68" s="218"/>
      <c r="D68" s="217"/>
      <c r="E68" s="335"/>
      <c r="F68" s="359">
        <f>SUM(F64:F67)</f>
        <v>129595.54539999999</v>
      </c>
      <c r="G68" s="384"/>
      <c r="H68" s="384"/>
      <c r="I68" s="385"/>
      <c r="J68" s="386"/>
      <c r="K68" s="339"/>
      <c r="L68" s="387"/>
      <c r="M68" s="355"/>
    </row>
    <row r="69" spans="1:13" ht="24">
      <c r="A69" s="390" t="s">
        <v>238</v>
      </c>
      <c r="B69" s="391" t="s">
        <v>239</v>
      </c>
      <c r="C69" s="204"/>
      <c r="D69" s="205"/>
      <c r="E69" s="335"/>
      <c r="F69" s="359"/>
      <c r="G69" s="384"/>
      <c r="H69" s="384"/>
      <c r="I69" s="385"/>
      <c r="J69" s="386"/>
      <c r="K69" s="339"/>
      <c r="L69" s="387"/>
      <c r="M69" s="355"/>
    </row>
    <row r="70" spans="1:13">
      <c r="A70" s="360">
        <v>1.01</v>
      </c>
      <c r="B70" s="374" t="s">
        <v>235</v>
      </c>
      <c r="C70" s="218" t="s">
        <v>189</v>
      </c>
      <c r="D70" s="388">
        <v>36.6</v>
      </c>
      <c r="E70" s="368">
        <v>85</v>
      </c>
      <c r="F70" s="335">
        <f t="shared" si="7"/>
        <v>3111</v>
      </c>
      <c r="G70" s="384"/>
      <c r="H70" s="384"/>
      <c r="I70" s="385"/>
      <c r="J70" s="386"/>
      <c r="K70" s="339"/>
      <c r="L70" s="387"/>
      <c r="M70" s="355"/>
    </row>
    <row r="71" spans="1:13">
      <c r="A71" s="366">
        <f>A70+0.01</f>
        <v>1.02</v>
      </c>
      <c r="B71" s="374" t="s">
        <v>226</v>
      </c>
      <c r="C71" s="218" t="s">
        <v>38</v>
      </c>
      <c r="D71" s="388">
        <v>4.76</v>
      </c>
      <c r="E71" s="368">
        <v>280</v>
      </c>
      <c r="F71" s="335">
        <f t="shared" si="7"/>
        <v>1332.8</v>
      </c>
      <c r="G71" s="384"/>
      <c r="H71" s="384"/>
      <c r="I71" s="385"/>
      <c r="J71" s="386"/>
      <c r="K71" s="339"/>
      <c r="L71" s="387"/>
      <c r="M71" s="355"/>
    </row>
    <row r="72" spans="1:13">
      <c r="A72" s="366">
        <f>A71+0.01</f>
        <v>1.03</v>
      </c>
      <c r="B72" s="374" t="s">
        <v>240</v>
      </c>
      <c r="C72" s="218" t="s">
        <v>189</v>
      </c>
      <c r="D72" s="388">
        <v>36.6</v>
      </c>
      <c r="E72" s="368">
        <v>1530</v>
      </c>
      <c r="F72" s="335">
        <f t="shared" si="7"/>
        <v>55998</v>
      </c>
      <c r="G72" s="384"/>
      <c r="H72" s="384"/>
      <c r="I72" s="385"/>
      <c r="J72" s="386"/>
      <c r="K72" s="339"/>
      <c r="L72" s="387"/>
      <c r="M72" s="355"/>
    </row>
    <row r="73" spans="1:13">
      <c r="A73" s="366"/>
      <c r="B73" s="92" t="s">
        <v>44</v>
      </c>
      <c r="C73" s="218"/>
      <c r="D73" s="217"/>
      <c r="E73" s="335"/>
      <c r="F73" s="359">
        <f>SUM(F70:F72)</f>
        <v>60441.8</v>
      </c>
      <c r="G73" s="384"/>
      <c r="H73" s="384"/>
      <c r="I73" s="385"/>
      <c r="J73" s="386"/>
      <c r="K73" s="339"/>
      <c r="L73" s="387"/>
      <c r="M73" s="355"/>
    </row>
    <row r="74" spans="1:13">
      <c r="A74" s="390" t="s">
        <v>241</v>
      </c>
      <c r="B74" s="357" t="s">
        <v>242</v>
      </c>
      <c r="C74" s="204"/>
      <c r="D74" s="205"/>
      <c r="E74" s="335"/>
      <c r="F74" s="359"/>
      <c r="G74" s="384"/>
      <c r="H74" s="384"/>
      <c r="I74" s="385"/>
      <c r="J74" s="386"/>
      <c r="K74" s="339"/>
      <c r="L74" s="387"/>
      <c r="M74" s="355"/>
    </row>
    <row r="75" spans="1:13">
      <c r="A75" s="360">
        <v>1.01</v>
      </c>
      <c r="B75" s="374" t="s">
        <v>235</v>
      </c>
      <c r="C75" s="218" t="s">
        <v>189</v>
      </c>
      <c r="D75" s="388">
        <v>23.67</v>
      </c>
      <c r="E75" s="368">
        <v>200</v>
      </c>
      <c r="F75" s="335">
        <f t="shared" si="7"/>
        <v>4734</v>
      </c>
      <c r="G75" s="384"/>
      <c r="H75" s="384"/>
      <c r="I75" s="385"/>
      <c r="J75" s="386"/>
      <c r="K75" s="339"/>
      <c r="L75" s="387"/>
      <c r="M75" s="355"/>
    </row>
    <row r="76" spans="1:13">
      <c r="A76" s="366">
        <f>A75+0.01</f>
        <v>1.02</v>
      </c>
      <c r="B76" s="374" t="s">
        <v>226</v>
      </c>
      <c r="C76" s="218" t="s">
        <v>38</v>
      </c>
      <c r="D76" s="388">
        <v>6.15</v>
      </c>
      <c r="E76" s="368">
        <v>280</v>
      </c>
      <c r="F76" s="335">
        <f t="shared" si="7"/>
        <v>1722</v>
      </c>
      <c r="G76" s="384"/>
      <c r="H76" s="384"/>
      <c r="I76" s="385"/>
      <c r="J76" s="386"/>
      <c r="K76" s="339"/>
      <c r="L76" s="387"/>
      <c r="M76" s="355"/>
    </row>
    <row r="77" spans="1:13">
      <c r="A77" s="366">
        <f t="shared" ref="A77:A80" si="12">A76+0.01</f>
        <v>1.03</v>
      </c>
      <c r="B77" s="374" t="s">
        <v>243</v>
      </c>
      <c r="C77" s="218" t="s">
        <v>189</v>
      </c>
      <c r="D77" s="388">
        <v>18.61</v>
      </c>
      <c r="E77" s="364">
        <v>1050.52</v>
      </c>
      <c r="F77" s="335">
        <f t="shared" si="7"/>
        <v>19550.177199999998</v>
      </c>
      <c r="G77" s="384"/>
      <c r="H77" s="384"/>
      <c r="I77" s="385"/>
      <c r="J77" s="386"/>
      <c r="K77" s="339"/>
      <c r="L77" s="387"/>
      <c r="M77" s="355"/>
    </row>
    <row r="78" spans="1:13">
      <c r="A78" s="366">
        <f t="shared" si="12"/>
        <v>1.04</v>
      </c>
      <c r="B78" s="374" t="s">
        <v>227</v>
      </c>
      <c r="C78" s="218" t="s">
        <v>189</v>
      </c>
      <c r="D78" s="388">
        <v>42.28</v>
      </c>
      <c r="E78" s="368">
        <v>335.9</v>
      </c>
      <c r="F78" s="335">
        <f t="shared" si="7"/>
        <v>14201.851999999999</v>
      </c>
      <c r="G78" s="384"/>
      <c r="H78" s="384"/>
      <c r="I78" s="385"/>
      <c r="J78" s="386"/>
      <c r="K78" s="339"/>
      <c r="L78" s="387"/>
      <c r="M78" s="355"/>
    </row>
    <row r="79" spans="1:13">
      <c r="A79" s="366">
        <f t="shared" si="12"/>
        <v>1.05</v>
      </c>
      <c r="B79" s="374" t="s">
        <v>244</v>
      </c>
      <c r="C79" s="218" t="s">
        <v>38</v>
      </c>
      <c r="D79" s="388">
        <v>0.61</v>
      </c>
      <c r="E79" s="364">
        <v>16972</v>
      </c>
      <c r="F79" s="335">
        <f t="shared" si="7"/>
        <v>10352.92</v>
      </c>
      <c r="G79" s="384"/>
      <c r="H79" s="384"/>
      <c r="I79" s="385"/>
      <c r="J79" s="386"/>
      <c r="K79" s="339"/>
      <c r="L79" s="387"/>
      <c r="M79" s="355"/>
    </row>
    <row r="80" spans="1:13">
      <c r="A80" s="366">
        <f t="shared" si="12"/>
        <v>1.06</v>
      </c>
      <c r="B80" s="374" t="s">
        <v>237</v>
      </c>
      <c r="C80" s="218" t="s">
        <v>189</v>
      </c>
      <c r="D80" s="388">
        <v>5.0599999999999996</v>
      </c>
      <c r="E80" s="368">
        <v>349.89</v>
      </c>
      <c r="F80" s="335">
        <f t="shared" si="7"/>
        <v>1770.4433999999999</v>
      </c>
      <c r="G80" s="384"/>
      <c r="H80" s="384"/>
      <c r="I80" s="385"/>
      <c r="J80" s="386"/>
      <c r="K80" s="339"/>
      <c r="L80" s="387"/>
      <c r="M80" s="355"/>
    </row>
    <row r="81" spans="1:13">
      <c r="A81" s="366"/>
      <c r="B81" s="357" t="s">
        <v>245</v>
      </c>
      <c r="C81" s="218"/>
      <c r="D81" s="217"/>
      <c r="E81" s="335"/>
      <c r="F81" s="359">
        <f>SUM(F75:F80)+F62</f>
        <v>102829.69259999999</v>
      </c>
      <c r="G81" s="384"/>
      <c r="H81" s="384"/>
      <c r="I81" s="385"/>
      <c r="J81" s="386"/>
      <c r="K81" s="339"/>
      <c r="L81" s="387"/>
      <c r="M81" s="355"/>
    </row>
    <row r="82" spans="1:13">
      <c r="A82" s="366"/>
      <c r="B82" s="357" t="s">
        <v>167</v>
      </c>
      <c r="C82" s="218"/>
      <c r="D82" s="217"/>
      <c r="E82" s="335"/>
      <c r="F82" s="359">
        <f>F81+F73+F68+F56+F49+F42+F36+F29+F21+F12</f>
        <v>2053758.2066000004</v>
      </c>
      <c r="G82" s="384"/>
      <c r="H82" s="384"/>
      <c r="I82" s="385"/>
      <c r="J82" s="386"/>
      <c r="K82" s="339"/>
      <c r="L82" s="387"/>
      <c r="M82" s="355"/>
    </row>
    <row r="83" spans="1:13">
      <c r="A83" s="366"/>
      <c r="B83" s="357" t="s">
        <v>246</v>
      </c>
      <c r="C83" s="218"/>
      <c r="D83" s="217"/>
      <c r="E83" s="335"/>
      <c r="F83" s="359"/>
      <c r="G83" s="384"/>
      <c r="H83" s="384"/>
      <c r="I83" s="385"/>
      <c r="J83" s="386"/>
      <c r="K83" s="339"/>
      <c r="L83" s="387"/>
      <c r="M83" s="355"/>
    </row>
    <row r="84" spans="1:13">
      <c r="A84" s="390" t="s">
        <v>247</v>
      </c>
      <c r="B84" s="357" t="s">
        <v>182</v>
      </c>
      <c r="C84" s="218"/>
      <c r="D84" s="217"/>
      <c r="E84" s="335"/>
      <c r="F84" s="359"/>
      <c r="G84" s="384"/>
      <c r="H84" s="384"/>
      <c r="I84" s="385"/>
      <c r="J84" s="386"/>
      <c r="K84" s="339"/>
      <c r="L84" s="387"/>
      <c r="M84" s="355"/>
    </row>
    <row r="85" spans="1:13">
      <c r="A85" s="366">
        <v>1.01</v>
      </c>
      <c r="B85" s="374" t="s">
        <v>248</v>
      </c>
      <c r="C85" s="218" t="s">
        <v>30</v>
      </c>
      <c r="D85" s="217">
        <v>750</v>
      </c>
      <c r="E85" s="335">
        <v>50</v>
      </c>
      <c r="F85" s="335">
        <f t="shared" si="7"/>
        <v>37500</v>
      </c>
      <c r="G85" s="384"/>
      <c r="H85" s="392">
        <f>D85</f>
        <v>750</v>
      </c>
      <c r="I85" s="393">
        <f>G85+H85</f>
        <v>750</v>
      </c>
      <c r="J85" s="394">
        <f>H85/I85</f>
        <v>1</v>
      </c>
      <c r="K85" s="339"/>
      <c r="L85" s="395">
        <f>H85*E85</f>
        <v>37500</v>
      </c>
      <c r="M85" s="350">
        <f>K85+L85</f>
        <v>37500</v>
      </c>
    </row>
    <row r="86" spans="1:13">
      <c r="A86" s="366">
        <v>1.02</v>
      </c>
      <c r="B86" s="374" t="s">
        <v>249</v>
      </c>
      <c r="C86" s="218" t="s">
        <v>88</v>
      </c>
      <c r="D86" s="217">
        <v>1</v>
      </c>
      <c r="E86" s="335">
        <v>8500</v>
      </c>
      <c r="F86" s="335">
        <f t="shared" si="7"/>
        <v>8500</v>
      </c>
      <c r="G86" s="384"/>
      <c r="H86" s="384"/>
      <c r="I86" s="385"/>
      <c r="J86" s="386"/>
      <c r="K86" s="339"/>
      <c r="L86" s="395"/>
      <c r="M86" s="350"/>
    </row>
    <row r="87" spans="1:13">
      <c r="A87" s="366"/>
      <c r="B87" s="92" t="s">
        <v>44</v>
      </c>
      <c r="C87" s="218"/>
      <c r="D87" s="217"/>
      <c r="E87" s="335"/>
      <c r="F87" s="359">
        <f>SUM(F85:F86)</f>
        <v>46000</v>
      </c>
      <c r="G87" s="384"/>
      <c r="H87" s="384"/>
      <c r="I87" s="385"/>
      <c r="J87" s="386"/>
      <c r="K87" s="339"/>
      <c r="L87" s="387">
        <f>SUM(L85:L86)</f>
        <v>37500</v>
      </c>
      <c r="M87" s="355">
        <f>K87+L87</f>
        <v>37500</v>
      </c>
    </row>
    <row r="88" spans="1:13">
      <c r="A88" s="390">
        <v>2</v>
      </c>
      <c r="B88" s="357" t="s">
        <v>250</v>
      </c>
      <c r="C88" s="218"/>
      <c r="D88" s="217"/>
      <c r="E88" s="335"/>
      <c r="F88" s="359"/>
      <c r="G88" s="384"/>
      <c r="H88" s="384"/>
      <c r="I88" s="385"/>
      <c r="J88" s="386"/>
      <c r="K88" s="339"/>
      <c r="L88" s="395"/>
      <c r="M88" s="350"/>
    </row>
    <row r="89" spans="1:13" ht="24">
      <c r="A89" s="366">
        <f>A88+0.01</f>
        <v>2.0099999999999998</v>
      </c>
      <c r="B89" s="382" t="s">
        <v>251</v>
      </c>
      <c r="C89" s="218" t="s">
        <v>38</v>
      </c>
      <c r="D89" s="388">
        <v>495</v>
      </c>
      <c r="E89" s="364">
        <v>1850</v>
      </c>
      <c r="F89" s="335">
        <f t="shared" si="7"/>
        <v>915750</v>
      </c>
      <c r="G89" s="384"/>
      <c r="H89" s="392">
        <f>D89</f>
        <v>495</v>
      </c>
      <c r="I89" s="393">
        <f>G89+H89</f>
        <v>495</v>
      </c>
      <c r="J89" s="394">
        <f>H89/I89</f>
        <v>1</v>
      </c>
      <c r="K89" s="339"/>
      <c r="L89" s="395">
        <f>H89*E89</f>
        <v>915750</v>
      </c>
      <c r="M89" s="350">
        <f>K89+L89</f>
        <v>915750</v>
      </c>
    </row>
    <row r="90" spans="1:13">
      <c r="A90" s="366">
        <f t="shared" ref="A90:A92" si="13">A89+0.01</f>
        <v>2.0199999999999996</v>
      </c>
      <c r="B90" s="374" t="s">
        <v>252</v>
      </c>
      <c r="C90" s="218" t="s">
        <v>38</v>
      </c>
      <c r="D90" s="388">
        <v>45</v>
      </c>
      <c r="E90" s="364">
        <v>2200</v>
      </c>
      <c r="F90" s="335">
        <f t="shared" si="7"/>
        <v>99000</v>
      </c>
      <c r="G90" s="384"/>
      <c r="H90" s="392">
        <f t="shared" ref="H90:H92" si="14">D90</f>
        <v>45</v>
      </c>
      <c r="I90" s="393">
        <f t="shared" ref="I90:I92" si="15">G90+H90</f>
        <v>45</v>
      </c>
      <c r="J90" s="394">
        <f t="shared" ref="J90:J92" si="16">H90/I90</f>
        <v>1</v>
      </c>
      <c r="K90" s="339"/>
      <c r="L90" s="395">
        <f t="shared" ref="L90:L92" si="17">H90*E90</f>
        <v>99000</v>
      </c>
      <c r="M90" s="350">
        <f t="shared" ref="M90:M93" si="18">K90+L90</f>
        <v>99000</v>
      </c>
    </row>
    <row r="91" spans="1:13">
      <c r="A91" s="366">
        <f t="shared" si="13"/>
        <v>2.0299999999999994</v>
      </c>
      <c r="B91" s="374" t="s">
        <v>253</v>
      </c>
      <c r="C91" s="218" t="s">
        <v>38</v>
      </c>
      <c r="D91" s="388">
        <v>87.75</v>
      </c>
      <c r="E91" s="368">
        <v>310</v>
      </c>
      <c r="F91" s="335">
        <f t="shared" si="7"/>
        <v>27202.5</v>
      </c>
      <c r="G91" s="384"/>
      <c r="H91" s="392">
        <f t="shared" si="14"/>
        <v>87.75</v>
      </c>
      <c r="I91" s="393">
        <f t="shared" si="15"/>
        <v>87.75</v>
      </c>
      <c r="J91" s="394">
        <f t="shared" si="16"/>
        <v>1</v>
      </c>
      <c r="K91" s="339"/>
      <c r="L91" s="395">
        <f t="shared" si="17"/>
        <v>27202.5</v>
      </c>
      <c r="M91" s="350">
        <f t="shared" si="18"/>
        <v>27202.5</v>
      </c>
    </row>
    <row r="92" spans="1:13">
      <c r="A92" s="366">
        <f t="shared" si="13"/>
        <v>2.0399999999999991</v>
      </c>
      <c r="B92" s="374" t="s">
        <v>254</v>
      </c>
      <c r="C92" s="218" t="s">
        <v>38</v>
      </c>
      <c r="D92" s="388">
        <v>427.5</v>
      </c>
      <c r="E92" s="368">
        <v>580</v>
      </c>
      <c r="F92" s="335">
        <f t="shared" si="7"/>
        <v>247950</v>
      </c>
      <c r="G92" s="384"/>
      <c r="H92" s="392">
        <f t="shared" si="14"/>
        <v>427.5</v>
      </c>
      <c r="I92" s="393">
        <f t="shared" si="15"/>
        <v>427.5</v>
      </c>
      <c r="J92" s="394">
        <f t="shared" si="16"/>
        <v>1</v>
      </c>
      <c r="K92" s="339"/>
      <c r="L92" s="395">
        <f t="shared" si="17"/>
        <v>247950</v>
      </c>
      <c r="M92" s="350">
        <f t="shared" si="18"/>
        <v>247950</v>
      </c>
    </row>
    <row r="93" spans="1:13">
      <c r="A93" s="366"/>
      <c r="B93" s="92" t="s">
        <v>44</v>
      </c>
      <c r="C93" s="218"/>
      <c r="D93" s="217"/>
      <c r="E93" s="335"/>
      <c r="F93" s="359">
        <f>SUM(F89:F92)</f>
        <v>1289902.5</v>
      </c>
      <c r="G93" s="384"/>
      <c r="H93" s="384"/>
      <c r="I93" s="385"/>
      <c r="J93" s="386"/>
      <c r="K93" s="339"/>
      <c r="L93" s="387">
        <f>SUM(L89:L92)</f>
        <v>1289902.5</v>
      </c>
      <c r="M93" s="355">
        <f t="shared" si="18"/>
        <v>1289902.5</v>
      </c>
    </row>
    <row r="94" spans="1:13">
      <c r="A94" s="390">
        <v>3</v>
      </c>
      <c r="B94" s="357" t="s">
        <v>255</v>
      </c>
      <c r="C94" s="218"/>
      <c r="D94" s="217"/>
      <c r="E94" s="335"/>
      <c r="F94" s="359"/>
      <c r="G94" s="384"/>
      <c r="H94" s="384"/>
      <c r="I94" s="385"/>
      <c r="J94" s="386"/>
      <c r="K94" s="339"/>
      <c r="L94" s="387"/>
      <c r="M94" s="355"/>
    </row>
    <row r="95" spans="1:13" ht="36">
      <c r="A95" s="366">
        <f>A94+0.01</f>
        <v>3.01</v>
      </c>
      <c r="B95" s="382" t="s">
        <v>256</v>
      </c>
      <c r="C95" s="218" t="s">
        <v>88</v>
      </c>
      <c r="D95" s="217">
        <v>1</v>
      </c>
      <c r="E95" s="335">
        <v>2000000</v>
      </c>
      <c r="F95" s="335">
        <f t="shared" si="7"/>
        <v>2000000</v>
      </c>
      <c r="G95" s="384"/>
      <c r="H95" s="392">
        <v>0.5</v>
      </c>
      <c r="I95" s="393">
        <f t="shared" ref="I95" si="19">G95+H95</f>
        <v>0.5</v>
      </c>
      <c r="J95" s="394">
        <f t="shared" ref="J95" si="20">H95/I95</f>
        <v>1</v>
      </c>
      <c r="K95" s="339"/>
      <c r="L95" s="395">
        <f t="shared" ref="L95" si="21">H95*E95</f>
        <v>1000000</v>
      </c>
      <c r="M95" s="350">
        <f t="shared" ref="M95:M96" si="22">K95+L95</f>
        <v>1000000</v>
      </c>
    </row>
    <row r="96" spans="1:13">
      <c r="A96" s="366"/>
      <c r="B96" s="92" t="s">
        <v>44</v>
      </c>
      <c r="C96" s="218"/>
      <c r="D96" s="217"/>
      <c r="E96" s="335"/>
      <c r="F96" s="359">
        <f>F95</f>
        <v>2000000</v>
      </c>
      <c r="G96" s="384"/>
      <c r="H96" s="384"/>
      <c r="I96" s="385"/>
      <c r="J96" s="386"/>
      <c r="K96" s="339"/>
      <c r="L96" s="387">
        <f>SUM(L95)</f>
        <v>1000000</v>
      </c>
      <c r="M96" s="355">
        <f t="shared" si="22"/>
        <v>1000000</v>
      </c>
    </row>
    <row r="97" spans="1:13">
      <c r="A97" s="390">
        <v>4</v>
      </c>
      <c r="B97" s="357" t="s">
        <v>257</v>
      </c>
      <c r="C97" s="218"/>
      <c r="D97" s="217"/>
      <c r="E97" s="335"/>
      <c r="F97" s="359"/>
      <c r="G97" s="384"/>
      <c r="H97" s="384"/>
      <c r="I97" s="385"/>
      <c r="J97" s="386"/>
      <c r="K97" s="339"/>
      <c r="L97" s="387"/>
      <c r="M97" s="355"/>
    </row>
    <row r="98" spans="1:13" ht="24">
      <c r="A98" s="366">
        <f>A97+0.01</f>
        <v>4.01</v>
      </c>
      <c r="B98" s="382" t="s">
        <v>258</v>
      </c>
      <c r="C98" s="218" t="s">
        <v>30</v>
      </c>
      <c r="D98" s="217">
        <v>787.5</v>
      </c>
      <c r="E98" s="335">
        <v>1426.22</v>
      </c>
      <c r="F98" s="335">
        <f t="shared" si="7"/>
        <v>1123148.25</v>
      </c>
      <c r="G98" s="384"/>
      <c r="H98" s="392">
        <f t="shared" ref="H98" si="23">D98</f>
        <v>787.5</v>
      </c>
      <c r="I98" s="393">
        <f t="shared" ref="I98" si="24">G98+H98</f>
        <v>787.5</v>
      </c>
      <c r="J98" s="394">
        <f t="shared" ref="J98" si="25">H98/I98</f>
        <v>1</v>
      </c>
      <c r="K98" s="339"/>
      <c r="L98" s="395">
        <f t="shared" ref="L98" si="26">H98*E98</f>
        <v>1123148.25</v>
      </c>
      <c r="M98" s="350">
        <f t="shared" ref="M98:M99" si="27">K98+L98</f>
        <v>1123148.25</v>
      </c>
    </row>
    <row r="99" spans="1:13">
      <c r="A99" s="366"/>
      <c r="B99" s="92" t="s">
        <v>44</v>
      </c>
      <c r="C99" s="218"/>
      <c r="D99" s="217"/>
      <c r="E99" s="335"/>
      <c r="F99" s="359">
        <f>F98</f>
        <v>1123148.25</v>
      </c>
      <c r="G99" s="384"/>
      <c r="H99" s="384"/>
      <c r="I99" s="385"/>
      <c r="J99" s="386"/>
      <c r="K99" s="339"/>
      <c r="L99" s="387">
        <f>SUM(L98)</f>
        <v>1123148.25</v>
      </c>
      <c r="M99" s="355">
        <f t="shared" si="27"/>
        <v>1123148.25</v>
      </c>
    </row>
    <row r="100" spans="1:13" ht="24">
      <c r="A100" s="390">
        <v>5</v>
      </c>
      <c r="B100" s="391" t="s">
        <v>259</v>
      </c>
      <c r="C100" s="218"/>
      <c r="D100" s="217"/>
      <c r="E100" s="335"/>
      <c r="F100" s="359"/>
      <c r="G100" s="384"/>
      <c r="H100" s="384"/>
      <c r="I100" s="385"/>
      <c r="J100" s="386"/>
      <c r="K100" s="339"/>
      <c r="L100" s="387"/>
      <c r="M100" s="355"/>
    </row>
    <row r="101" spans="1:13" ht="60">
      <c r="A101" s="366">
        <f>A100+0.01</f>
        <v>5.01</v>
      </c>
      <c r="B101" s="382" t="s">
        <v>260</v>
      </c>
      <c r="C101" s="218" t="s">
        <v>32</v>
      </c>
      <c r="D101" s="217">
        <v>1</v>
      </c>
      <c r="E101" s="335">
        <v>25039.25</v>
      </c>
      <c r="F101" s="335">
        <f t="shared" si="7"/>
        <v>25039.25</v>
      </c>
      <c r="G101" s="384"/>
      <c r="H101" s="384"/>
      <c r="I101" s="385"/>
      <c r="J101" s="386"/>
      <c r="K101" s="339"/>
      <c r="L101" s="387"/>
      <c r="M101" s="355"/>
    </row>
    <row r="102" spans="1:13">
      <c r="A102" s="366"/>
      <c r="B102" s="92" t="s">
        <v>44</v>
      </c>
      <c r="C102" s="218"/>
      <c r="D102" s="217"/>
      <c r="E102" s="335"/>
      <c r="F102" s="359">
        <f>F101</f>
        <v>25039.25</v>
      </c>
      <c r="G102" s="384"/>
      <c r="H102" s="384"/>
      <c r="I102" s="385"/>
      <c r="J102" s="386"/>
      <c r="K102" s="339"/>
      <c r="L102" s="387"/>
      <c r="M102" s="355"/>
    </row>
    <row r="103" spans="1:13" ht="24">
      <c r="A103" s="390">
        <v>6</v>
      </c>
      <c r="B103" s="391" t="s">
        <v>261</v>
      </c>
      <c r="C103" s="218"/>
      <c r="D103" s="217"/>
      <c r="E103" s="335"/>
      <c r="F103" s="359"/>
      <c r="G103" s="384"/>
      <c r="H103" s="384"/>
      <c r="I103" s="385"/>
      <c r="J103" s="386"/>
      <c r="K103" s="339"/>
      <c r="L103" s="387"/>
      <c r="M103" s="355"/>
    </row>
    <row r="104" spans="1:13">
      <c r="A104" s="366">
        <f>A103+0.01</f>
        <v>6.01</v>
      </c>
      <c r="B104" s="382" t="s">
        <v>262</v>
      </c>
      <c r="C104" s="218" t="s">
        <v>38</v>
      </c>
      <c r="D104" s="388">
        <v>26.66</v>
      </c>
      <c r="E104" s="368">
        <v>350</v>
      </c>
      <c r="F104" s="335">
        <f t="shared" ref="F104:F165" si="28">E104*D104</f>
        <v>9331</v>
      </c>
      <c r="G104" s="384"/>
      <c r="H104" s="384"/>
      <c r="I104" s="385"/>
      <c r="J104" s="386"/>
      <c r="K104" s="339"/>
      <c r="L104" s="387"/>
      <c r="M104" s="355"/>
    </row>
    <row r="105" spans="1:13">
      <c r="A105" s="366">
        <f t="shared" ref="A105:A122" si="29">A104+0.01</f>
        <v>6.02</v>
      </c>
      <c r="B105" s="382" t="s">
        <v>263</v>
      </c>
      <c r="C105" s="218" t="s">
        <v>264</v>
      </c>
      <c r="D105" s="388">
        <v>34.659999999999997</v>
      </c>
      <c r="E105" s="368">
        <v>461.3</v>
      </c>
      <c r="F105" s="335">
        <f t="shared" si="28"/>
        <v>15988.657999999999</v>
      </c>
      <c r="G105" s="384"/>
      <c r="H105" s="384"/>
      <c r="I105" s="385"/>
      <c r="J105" s="386"/>
      <c r="K105" s="339"/>
      <c r="L105" s="387"/>
      <c r="M105" s="355"/>
    </row>
    <row r="106" spans="1:13">
      <c r="A106" s="366">
        <f t="shared" si="29"/>
        <v>6.0299999999999994</v>
      </c>
      <c r="B106" s="382" t="s">
        <v>265</v>
      </c>
      <c r="C106" s="218" t="s">
        <v>38</v>
      </c>
      <c r="D106" s="388">
        <v>10.4</v>
      </c>
      <c r="E106" s="368">
        <v>357.7</v>
      </c>
      <c r="F106" s="335">
        <f t="shared" si="28"/>
        <v>3720.08</v>
      </c>
      <c r="G106" s="384"/>
      <c r="H106" s="384"/>
      <c r="I106" s="385"/>
      <c r="J106" s="386"/>
      <c r="K106" s="339"/>
      <c r="L106" s="387"/>
      <c r="M106" s="355"/>
    </row>
    <row r="107" spans="1:13">
      <c r="A107" s="366">
        <f t="shared" si="29"/>
        <v>6.0399999999999991</v>
      </c>
      <c r="B107" s="382" t="s">
        <v>266</v>
      </c>
      <c r="C107" s="218" t="s">
        <v>88</v>
      </c>
      <c r="D107" s="388">
        <v>1</v>
      </c>
      <c r="E107" s="364">
        <v>6000</v>
      </c>
      <c r="F107" s="335">
        <f t="shared" si="28"/>
        <v>6000</v>
      </c>
      <c r="G107" s="384"/>
      <c r="H107" s="384"/>
      <c r="I107" s="385"/>
      <c r="J107" s="386"/>
      <c r="K107" s="339"/>
      <c r="L107" s="387"/>
      <c r="M107" s="355"/>
    </row>
    <row r="108" spans="1:13" ht="24">
      <c r="A108" s="366">
        <f t="shared" si="29"/>
        <v>6.0499999999999989</v>
      </c>
      <c r="B108" s="382" t="s">
        <v>267</v>
      </c>
      <c r="C108" s="218" t="s">
        <v>38</v>
      </c>
      <c r="D108" s="388">
        <v>11.5</v>
      </c>
      <c r="E108" s="364">
        <v>18420</v>
      </c>
      <c r="F108" s="335">
        <f t="shared" si="28"/>
        <v>211830</v>
      </c>
      <c r="G108" s="384"/>
      <c r="H108" s="384"/>
      <c r="I108" s="385"/>
      <c r="J108" s="386"/>
      <c r="K108" s="339"/>
      <c r="L108" s="387"/>
      <c r="M108" s="355"/>
    </row>
    <row r="109" spans="1:13" ht="24">
      <c r="A109" s="366">
        <f t="shared" si="29"/>
        <v>6.0599999999999987</v>
      </c>
      <c r="B109" s="382" t="s">
        <v>268</v>
      </c>
      <c r="C109" s="218" t="s">
        <v>38</v>
      </c>
      <c r="D109" s="388">
        <v>21.81</v>
      </c>
      <c r="E109" s="364">
        <v>21180</v>
      </c>
      <c r="F109" s="335">
        <f t="shared" si="28"/>
        <v>461935.8</v>
      </c>
      <c r="G109" s="384"/>
      <c r="H109" s="384"/>
      <c r="I109" s="385"/>
      <c r="J109" s="386"/>
      <c r="K109" s="339"/>
      <c r="L109" s="387"/>
      <c r="M109" s="355"/>
    </row>
    <row r="110" spans="1:13" ht="24">
      <c r="A110" s="366">
        <f t="shared" si="29"/>
        <v>6.0699999999999985</v>
      </c>
      <c r="B110" s="382" t="s">
        <v>269</v>
      </c>
      <c r="C110" s="218" t="s">
        <v>38</v>
      </c>
      <c r="D110" s="388">
        <v>40.57</v>
      </c>
      <c r="E110" s="364">
        <v>16773.25</v>
      </c>
      <c r="F110" s="335">
        <f t="shared" si="28"/>
        <v>680490.75250000006</v>
      </c>
      <c r="G110" s="384"/>
      <c r="H110" s="384"/>
      <c r="I110" s="385"/>
      <c r="J110" s="386"/>
      <c r="K110" s="339"/>
      <c r="L110" s="387"/>
      <c r="M110" s="355"/>
    </row>
    <row r="111" spans="1:13">
      <c r="A111" s="366">
        <f t="shared" si="29"/>
        <v>6.0799999999999983</v>
      </c>
      <c r="B111" s="382" t="s">
        <v>270</v>
      </c>
      <c r="C111" s="218" t="s">
        <v>189</v>
      </c>
      <c r="D111" s="388">
        <v>102.53</v>
      </c>
      <c r="E111" s="368">
        <v>73.989999999999995</v>
      </c>
      <c r="F111" s="335">
        <f t="shared" si="28"/>
        <v>7586.1947</v>
      </c>
      <c r="G111" s="384"/>
      <c r="H111" s="384"/>
      <c r="I111" s="385"/>
      <c r="J111" s="386"/>
      <c r="K111" s="339"/>
      <c r="L111" s="387"/>
      <c r="M111" s="355"/>
    </row>
    <row r="112" spans="1:13">
      <c r="A112" s="366">
        <f t="shared" si="29"/>
        <v>6.0899999999999981</v>
      </c>
      <c r="B112" s="382" t="s">
        <v>271</v>
      </c>
      <c r="C112" s="218" t="s">
        <v>189</v>
      </c>
      <c r="D112" s="388">
        <v>135.83000000000001</v>
      </c>
      <c r="E112" s="368">
        <v>388.4</v>
      </c>
      <c r="F112" s="335">
        <f t="shared" si="28"/>
        <v>52756.372000000003</v>
      </c>
      <c r="G112" s="384"/>
      <c r="H112" s="384"/>
      <c r="I112" s="385"/>
      <c r="J112" s="386"/>
      <c r="K112" s="339"/>
      <c r="L112" s="387"/>
      <c r="M112" s="355"/>
    </row>
    <row r="113" spans="1:13">
      <c r="A113" s="366">
        <f t="shared" si="29"/>
        <v>6.0999999999999979</v>
      </c>
      <c r="B113" s="382" t="s">
        <v>272</v>
      </c>
      <c r="C113" s="218" t="s">
        <v>264</v>
      </c>
      <c r="D113" s="388">
        <v>64</v>
      </c>
      <c r="E113" s="368">
        <v>900</v>
      </c>
      <c r="F113" s="335">
        <f t="shared" si="28"/>
        <v>57600</v>
      </c>
      <c r="G113" s="384"/>
      <c r="H113" s="384"/>
      <c r="I113" s="385"/>
      <c r="J113" s="386"/>
      <c r="K113" s="339"/>
      <c r="L113" s="387"/>
      <c r="M113" s="355"/>
    </row>
    <row r="114" spans="1:13">
      <c r="A114" s="366">
        <f t="shared" si="29"/>
        <v>6.1099999999999977</v>
      </c>
      <c r="B114" s="382" t="s">
        <v>273</v>
      </c>
      <c r="C114" s="218" t="s">
        <v>189</v>
      </c>
      <c r="D114" s="388">
        <v>135.83000000000001</v>
      </c>
      <c r="E114" s="368">
        <v>240.22</v>
      </c>
      <c r="F114" s="335">
        <f t="shared" si="28"/>
        <v>32629.082600000002</v>
      </c>
      <c r="G114" s="384"/>
      <c r="H114" s="384"/>
      <c r="I114" s="385"/>
      <c r="J114" s="386"/>
      <c r="K114" s="339"/>
      <c r="L114" s="387"/>
      <c r="M114" s="355"/>
    </row>
    <row r="115" spans="1:13">
      <c r="A115" s="366">
        <f t="shared" si="29"/>
        <v>6.1199999999999974</v>
      </c>
      <c r="B115" s="382" t="s">
        <v>274</v>
      </c>
      <c r="C115" s="218" t="s">
        <v>32</v>
      </c>
      <c r="D115" s="388">
        <v>2</v>
      </c>
      <c r="E115" s="364">
        <v>20884.5</v>
      </c>
      <c r="F115" s="335">
        <f t="shared" si="28"/>
        <v>41769</v>
      </c>
      <c r="G115" s="384"/>
      <c r="H115" s="384"/>
      <c r="I115" s="385"/>
      <c r="J115" s="386"/>
      <c r="K115" s="339"/>
      <c r="L115" s="387"/>
      <c r="M115" s="355"/>
    </row>
    <row r="116" spans="1:13">
      <c r="A116" s="366">
        <f t="shared" si="29"/>
        <v>6.1299999999999972</v>
      </c>
      <c r="B116" s="382" t="s">
        <v>275</v>
      </c>
      <c r="C116" s="218" t="s">
        <v>32</v>
      </c>
      <c r="D116" s="388">
        <v>2</v>
      </c>
      <c r="E116" s="364">
        <v>10000</v>
      </c>
      <c r="F116" s="335">
        <f t="shared" si="28"/>
        <v>20000</v>
      </c>
      <c r="G116" s="384"/>
      <c r="H116" s="384"/>
      <c r="I116" s="385"/>
      <c r="J116" s="386"/>
      <c r="K116" s="339"/>
      <c r="L116" s="387"/>
      <c r="M116" s="355"/>
    </row>
    <row r="117" spans="1:13">
      <c r="A117" s="366">
        <f t="shared" si="29"/>
        <v>6.139999999999997</v>
      </c>
      <c r="B117" s="382" t="s">
        <v>276</v>
      </c>
      <c r="C117" s="218" t="s">
        <v>189</v>
      </c>
      <c r="D117" s="388">
        <v>50.77</v>
      </c>
      <c r="E117" s="368">
        <v>228</v>
      </c>
      <c r="F117" s="335">
        <f t="shared" si="28"/>
        <v>11575.560000000001</v>
      </c>
      <c r="G117" s="384"/>
      <c r="H117" s="384"/>
      <c r="I117" s="385"/>
      <c r="J117" s="386"/>
      <c r="K117" s="339"/>
      <c r="L117" s="387"/>
      <c r="M117" s="355"/>
    </row>
    <row r="118" spans="1:13">
      <c r="A118" s="366">
        <f t="shared" si="29"/>
        <v>6.1499999999999968</v>
      </c>
      <c r="B118" s="382" t="s">
        <v>277</v>
      </c>
      <c r="C118" s="218" t="s">
        <v>264</v>
      </c>
      <c r="D118" s="388">
        <v>2</v>
      </c>
      <c r="E118" s="364">
        <v>2785</v>
      </c>
      <c r="F118" s="335">
        <f t="shared" si="28"/>
        <v>5570</v>
      </c>
      <c r="G118" s="384"/>
      <c r="H118" s="384"/>
      <c r="I118" s="385"/>
      <c r="J118" s="386"/>
      <c r="K118" s="339"/>
      <c r="L118" s="387"/>
      <c r="M118" s="355"/>
    </row>
    <row r="119" spans="1:13" ht="60">
      <c r="A119" s="366">
        <f t="shared" si="29"/>
        <v>6.1599999999999966</v>
      </c>
      <c r="B119" s="382" t="s">
        <v>260</v>
      </c>
      <c r="C119" s="218" t="s">
        <v>32</v>
      </c>
      <c r="D119" s="388">
        <v>6</v>
      </c>
      <c r="E119" s="364">
        <v>25039.25</v>
      </c>
      <c r="F119" s="335">
        <f t="shared" si="28"/>
        <v>150235.5</v>
      </c>
      <c r="G119" s="384"/>
      <c r="H119" s="384"/>
      <c r="I119" s="385"/>
      <c r="J119" s="386"/>
      <c r="K119" s="339"/>
      <c r="L119" s="387"/>
      <c r="M119" s="355"/>
    </row>
    <row r="120" spans="1:13">
      <c r="A120" s="366">
        <f t="shared" si="29"/>
        <v>6.1699999999999964</v>
      </c>
      <c r="B120" s="382" t="s">
        <v>278</v>
      </c>
      <c r="C120" s="218" t="s">
        <v>88</v>
      </c>
      <c r="D120" s="388">
        <v>1</v>
      </c>
      <c r="E120" s="364">
        <v>3000</v>
      </c>
      <c r="F120" s="335">
        <f t="shared" si="28"/>
        <v>3000</v>
      </c>
      <c r="G120" s="384"/>
      <c r="H120" s="384"/>
      <c r="I120" s="385"/>
      <c r="J120" s="386"/>
      <c r="K120" s="339"/>
      <c r="L120" s="387"/>
      <c r="M120" s="355"/>
    </row>
    <row r="121" spans="1:13">
      <c r="A121" s="366">
        <f t="shared" si="29"/>
        <v>6.1799999999999962</v>
      </c>
      <c r="B121" s="382" t="s">
        <v>279</v>
      </c>
      <c r="C121" s="218" t="s">
        <v>32</v>
      </c>
      <c r="D121" s="388">
        <v>1</v>
      </c>
      <c r="E121" s="364">
        <v>3500</v>
      </c>
      <c r="F121" s="335">
        <f t="shared" si="28"/>
        <v>3500</v>
      </c>
      <c r="G121" s="384"/>
      <c r="H121" s="384"/>
      <c r="I121" s="385"/>
      <c r="J121" s="386"/>
      <c r="K121" s="339"/>
      <c r="L121" s="387"/>
      <c r="M121" s="355"/>
    </row>
    <row r="122" spans="1:13">
      <c r="A122" s="366">
        <f t="shared" si="29"/>
        <v>6.1899999999999959</v>
      </c>
      <c r="B122" s="382" t="s">
        <v>280</v>
      </c>
      <c r="C122" s="218" t="s">
        <v>32</v>
      </c>
      <c r="D122" s="388">
        <v>3</v>
      </c>
      <c r="E122" s="364">
        <v>1950</v>
      </c>
      <c r="F122" s="335">
        <f t="shared" si="28"/>
        <v>5850</v>
      </c>
      <c r="G122" s="384"/>
      <c r="H122" s="384"/>
      <c r="I122" s="385"/>
      <c r="J122" s="386"/>
      <c r="K122" s="339"/>
      <c r="L122" s="387"/>
      <c r="M122" s="355"/>
    </row>
    <row r="123" spans="1:13">
      <c r="A123" s="366">
        <f>A122+0.01</f>
        <v>6.1999999999999957</v>
      </c>
      <c r="B123" s="92" t="s">
        <v>44</v>
      </c>
      <c r="C123" s="218"/>
      <c r="D123" s="217"/>
      <c r="E123" s="335"/>
      <c r="F123" s="359">
        <f>SUM(F104:F122)</f>
        <v>1781367.9998000003</v>
      </c>
      <c r="G123" s="384"/>
      <c r="H123" s="384"/>
      <c r="I123" s="385"/>
      <c r="J123" s="386"/>
      <c r="K123" s="339"/>
      <c r="L123" s="387"/>
      <c r="M123" s="355"/>
    </row>
    <row r="124" spans="1:13">
      <c r="A124" s="390">
        <v>7</v>
      </c>
      <c r="B124" s="391" t="s">
        <v>281</v>
      </c>
      <c r="C124" s="218"/>
      <c r="D124" s="217"/>
      <c r="E124" s="335"/>
      <c r="F124" s="359"/>
      <c r="G124" s="384"/>
      <c r="H124" s="384"/>
      <c r="I124" s="385"/>
      <c r="J124" s="386"/>
      <c r="K124" s="339"/>
      <c r="L124" s="387"/>
      <c r="M124" s="355"/>
    </row>
    <row r="125" spans="1:13">
      <c r="A125" s="366">
        <f>A124+0.01</f>
        <v>7.01</v>
      </c>
      <c r="B125" s="382" t="s">
        <v>33</v>
      </c>
      <c r="C125" s="218" t="s">
        <v>30</v>
      </c>
      <c r="D125" s="396">
        <v>1500</v>
      </c>
      <c r="E125" s="368">
        <v>80</v>
      </c>
      <c r="F125" s="335">
        <f t="shared" si="28"/>
        <v>120000</v>
      </c>
      <c r="G125" s="384"/>
      <c r="H125" s="384"/>
      <c r="I125" s="385"/>
      <c r="J125" s="386"/>
      <c r="K125" s="339"/>
      <c r="L125" s="387"/>
      <c r="M125" s="355"/>
    </row>
    <row r="126" spans="1:13">
      <c r="A126" s="366">
        <f t="shared" ref="A126:A128" si="30">A125+0.01</f>
        <v>7.02</v>
      </c>
      <c r="B126" s="382" t="s">
        <v>282</v>
      </c>
      <c r="C126" s="218" t="s">
        <v>189</v>
      </c>
      <c r="D126" s="388">
        <v>675</v>
      </c>
      <c r="E126" s="368">
        <v>45</v>
      </c>
      <c r="F126" s="335">
        <f t="shared" si="28"/>
        <v>30375</v>
      </c>
      <c r="G126" s="384"/>
      <c r="H126" s="384"/>
      <c r="I126" s="385"/>
      <c r="J126" s="386"/>
      <c r="K126" s="339"/>
      <c r="L126" s="387"/>
      <c r="M126" s="355"/>
    </row>
    <row r="127" spans="1:13">
      <c r="A127" s="366">
        <f t="shared" si="30"/>
        <v>7.0299999999999994</v>
      </c>
      <c r="B127" s="382" t="s">
        <v>226</v>
      </c>
      <c r="C127" s="218" t="s">
        <v>38</v>
      </c>
      <c r="D127" s="388">
        <v>50.63</v>
      </c>
      <c r="E127" s="368">
        <v>280</v>
      </c>
      <c r="F127" s="335">
        <f t="shared" si="28"/>
        <v>14176.400000000001</v>
      </c>
      <c r="G127" s="384"/>
      <c r="H127" s="384"/>
      <c r="I127" s="385"/>
      <c r="J127" s="386"/>
      <c r="K127" s="339"/>
      <c r="L127" s="387"/>
      <c r="M127" s="355"/>
    </row>
    <row r="128" spans="1:13">
      <c r="A128" s="366">
        <f t="shared" si="30"/>
        <v>7.0399999999999991</v>
      </c>
      <c r="B128" s="382" t="s">
        <v>283</v>
      </c>
      <c r="C128" s="218" t="s">
        <v>38</v>
      </c>
      <c r="D128" s="388">
        <v>50.63</v>
      </c>
      <c r="E128" s="364">
        <v>8500</v>
      </c>
      <c r="F128" s="335">
        <f t="shared" si="28"/>
        <v>430355</v>
      </c>
      <c r="G128" s="384"/>
      <c r="H128" s="384"/>
      <c r="I128" s="385"/>
      <c r="J128" s="386"/>
      <c r="K128" s="339"/>
      <c r="L128" s="387"/>
      <c r="M128" s="355"/>
    </row>
    <row r="129" spans="1:13">
      <c r="A129" s="366"/>
      <c r="B129" s="92" t="s">
        <v>44</v>
      </c>
      <c r="C129" s="218"/>
      <c r="D129" s="217"/>
      <c r="E129" s="335"/>
      <c r="F129" s="359">
        <f>SUM(F125:F128)</f>
        <v>594906.4</v>
      </c>
      <c r="G129" s="384"/>
      <c r="H129" s="384"/>
      <c r="I129" s="385"/>
      <c r="J129" s="386"/>
      <c r="K129" s="339"/>
      <c r="L129" s="387"/>
      <c r="M129" s="355"/>
    </row>
    <row r="130" spans="1:13">
      <c r="A130" s="366"/>
      <c r="B130" s="357" t="s">
        <v>167</v>
      </c>
      <c r="C130" s="218"/>
      <c r="D130" s="217"/>
      <c r="E130" s="335"/>
      <c r="F130" s="359">
        <f>F129++F123+F102+F99+F96+F93+F87</f>
        <v>6860364.3998000007</v>
      </c>
      <c r="G130" s="384"/>
      <c r="H130" s="384"/>
      <c r="I130" s="385"/>
      <c r="J130" s="386"/>
      <c r="K130" s="339"/>
      <c r="L130" s="387"/>
      <c r="M130" s="355"/>
    </row>
    <row r="131" spans="1:13">
      <c r="A131" s="366"/>
      <c r="B131" s="391" t="s">
        <v>284</v>
      </c>
      <c r="C131" s="204"/>
      <c r="D131" s="217"/>
      <c r="E131" s="335"/>
      <c r="F131" s="359"/>
      <c r="G131" s="384"/>
      <c r="H131" s="384"/>
      <c r="I131" s="385"/>
      <c r="J131" s="386"/>
      <c r="K131" s="339"/>
      <c r="L131" s="387"/>
      <c r="M131" s="355"/>
    </row>
    <row r="132" spans="1:13">
      <c r="A132" s="390">
        <v>1</v>
      </c>
      <c r="B132" s="391" t="s">
        <v>285</v>
      </c>
      <c r="C132" s="218"/>
      <c r="D132" s="217"/>
      <c r="E132" s="335"/>
      <c r="F132" s="359"/>
      <c r="G132" s="384"/>
      <c r="H132" s="384"/>
      <c r="I132" s="385"/>
      <c r="J132" s="386"/>
      <c r="K132" s="339"/>
      <c r="L132" s="387"/>
      <c r="M132" s="355"/>
    </row>
    <row r="133" spans="1:13">
      <c r="A133" s="366">
        <f>A132+0.01</f>
        <v>1.01</v>
      </c>
      <c r="B133" s="382" t="s">
        <v>286</v>
      </c>
      <c r="C133" s="218" t="s">
        <v>30</v>
      </c>
      <c r="D133" s="217">
        <v>190</v>
      </c>
      <c r="E133" s="335">
        <v>50</v>
      </c>
      <c r="F133" s="335">
        <f t="shared" si="28"/>
        <v>9500</v>
      </c>
      <c r="G133" s="384"/>
      <c r="H133" s="384"/>
      <c r="I133" s="385"/>
      <c r="J133" s="386"/>
      <c r="K133" s="339"/>
      <c r="L133" s="387"/>
      <c r="M133" s="355"/>
    </row>
    <row r="134" spans="1:13">
      <c r="A134" s="366">
        <f>A133+0.01</f>
        <v>1.02</v>
      </c>
      <c r="B134" s="382" t="s">
        <v>287</v>
      </c>
      <c r="C134" s="218" t="s">
        <v>88</v>
      </c>
      <c r="D134" s="217">
        <v>1</v>
      </c>
      <c r="E134" s="335">
        <v>6000</v>
      </c>
      <c r="F134" s="335">
        <f t="shared" si="28"/>
        <v>6000</v>
      </c>
      <c r="G134" s="384"/>
      <c r="H134" s="384"/>
      <c r="I134" s="385"/>
      <c r="J134" s="386"/>
      <c r="K134" s="339"/>
      <c r="L134" s="387"/>
      <c r="M134" s="355"/>
    </row>
    <row r="135" spans="1:13">
      <c r="A135" s="366"/>
      <c r="B135" s="92" t="s">
        <v>44</v>
      </c>
      <c r="C135" s="218"/>
      <c r="D135" s="217"/>
      <c r="E135" s="335"/>
      <c r="F135" s="359">
        <f>SUM(F133:F134)</f>
        <v>15500</v>
      </c>
      <c r="G135" s="384"/>
      <c r="H135" s="384"/>
      <c r="I135" s="385"/>
      <c r="J135" s="386"/>
      <c r="K135" s="339"/>
      <c r="L135" s="387"/>
      <c r="M135" s="355"/>
    </row>
    <row r="136" spans="1:13">
      <c r="A136" s="390">
        <v>2</v>
      </c>
      <c r="B136" s="357" t="s">
        <v>250</v>
      </c>
      <c r="C136" s="218"/>
      <c r="D136" s="217"/>
      <c r="E136" s="335"/>
      <c r="F136" s="335"/>
      <c r="G136" s="384"/>
      <c r="H136" s="384"/>
      <c r="I136" s="385"/>
      <c r="J136" s="386"/>
      <c r="K136" s="339"/>
      <c r="L136" s="387"/>
      <c r="M136" s="355"/>
    </row>
    <row r="137" spans="1:13">
      <c r="A137" s="366">
        <f>A136+0.01</f>
        <v>2.0099999999999998</v>
      </c>
      <c r="B137" s="374" t="s">
        <v>37</v>
      </c>
      <c r="C137" s="218" t="s">
        <v>38</v>
      </c>
      <c r="D137" s="388">
        <v>125.4</v>
      </c>
      <c r="E137" s="368">
        <v>180</v>
      </c>
      <c r="F137" s="335">
        <f t="shared" si="28"/>
        <v>22572</v>
      </c>
      <c r="G137" s="384"/>
      <c r="H137" s="384"/>
      <c r="I137" s="385"/>
      <c r="J137" s="386"/>
      <c r="K137" s="339"/>
      <c r="L137" s="387"/>
      <c r="M137" s="355"/>
    </row>
    <row r="138" spans="1:13">
      <c r="A138" s="366">
        <f t="shared" ref="A138:A140" si="31">A137+0.01</f>
        <v>2.0199999999999996</v>
      </c>
      <c r="B138" s="374" t="s">
        <v>288</v>
      </c>
      <c r="C138" s="218" t="s">
        <v>38</v>
      </c>
      <c r="D138" s="388">
        <v>11.4</v>
      </c>
      <c r="E138" s="364">
        <v>2200</v>
      </c>
      <c r="F138" s="335">
        <f t="shared" si="28"/>
        <v>25080</v>
      </c>
      <c r="G138" s="384"/>
      <c r="H138" s="384"/>
      <c r="I138" s="385"/>
      <c r="J138" s="386"/>
      <c r="K138" s="339"/>
      <c r="L138" s="387"/>
      <c r="M138" s="355"/>
    </row>
    <row r="139" spans="1:13">
      <c r="A139" s="366">
        <f t="shared" si="31"/>
        <v>2.0299999999999994</v>
      </c>
      <c r="B139" s="382" t="s">
        <v>289</v>
      </c>
      <c r="C139" s="218" t="s">
        <v>38</v>
      </c>
      <c r="D139" s="388">
        <v>108.3</v>
      </c>
      <c r="E139" s="368">
        <v>260</v>
      </c>
      <c r="F139" s="335">
        <f t="shared" si="28"/>
        <v>28158</v>
      </c>
      <c r="G139" s="384"/>
      <c r="H139" s="384"/>
      <c r="I139" s="385"/>
      <c r="J139" s="386"/>
      <c r="K139" s="339"/>
      <c r="L139" s="387"/>
      <c r="M139" s="355"/>
    </row>
    <row r="140" spans="1:13">
      <c r="A140" s="366">
        <f t="shared" si="31"/>
        <v>2.0399999999999991</v>
      </c>
      <c r="B140" s="374" t="s">
        <v>290</v>
      </c>
      <c r="C140" s="218" t="s">
        <v>38</v>
      </c>
      <c r="D140" s="388">
        <v>22.23</v>
      </c>
      <c r="E140" s="368">
        <v>280</v>
      </c>
      <c r="F140" s="335">
        <f t="shared" si="28"/>
        <v>6224.4000000000005</v>
      </c>
      <c r="G140" s="384"/>
      <c r="H140" s="384"/>
      <c r="I140" s="385"/>
      <c r="J140" s="386"/>
      <c r="K140" s="339"/>
      <c r="L140" s="387"/>
      <c r="M140" s="355"/>
    </row>
    <row r="141" spans="1:13">
      <c r="A141" s="366"/>
      <c r="B141" s="92" t="s">
        <v>44</v>
      </c>
      <c r="C141" s="218"/>
      <c r="D141" s="217"/>
      <c r="E141" s="335"/>
      <c r="F141" s="359">
        <f>SUM(F137:F140)</f>
        <v>82034.399999999994</v>
      </c>
      <c r="G141" s="384"/>
      <c r="H141" s="384"/>
      <c r="I141" s="385"/>
      <c r="J141" s="386"/>
      <c r="K141" s="339"/>
      <c r="L141" s="387"/>
      <c r="M141" s="355"/>
    </row>
    <row r="142" spans="1:13">
      <c r="A142" s="390">
        <v>3</v>
      </c>
      <c r="B142" s="357" t="s">
        <v>291</v>
      </c>
      <c r="C142" s="218"/>
      <c r="D142" s="217"/>
      <c r="E142" s="335"/>
      <c r="F142" s="359"/>
      <c r="G142" s="384"/>
      <c r="H142" s="384"/>
      <c r="I142" s="385"/>
      <c r="J142" s="386"/>
      <c r="K142" s="339"/>
      <c r="L142" s="387"/>
      <c r="M142" s="355"/>
    </row>
    <row r="143" spans="1:13">
      <c r="A143" s="366">
        <f>A142+0.01</f>
        <v>3.01</v>
      </c>
      <c r="B143" s="374" t="s">
        <v>292</v>
      </c>
      <c r="C143" s="218" t="s">
        <v>30</v>
      </c>
      <c r="D143" s="217">
        <v>194.75</v>
      </c>
      <c r="E143" s="335">
        <v>948.10018000000002</v>
      </c>
      <c r="F143" s="335">
        <f t="shared" si="28"/>
        <v>184642.51005499999</v>
      </c>
      <c r="G143" s="384"/>
      <c r="H143" s="384"/>
      <c r="I143" s="385"/>
      <c r="J143" s="386"/>
      <c r="K143" s="339"/>
      <c r="L143" s="387"/>
      <c r="M143" s="355"/>
    </row>
    <row r="144" spans="1:13">
      <c r="A144" s="366"/>
      <c r="B144" s="92" t="s">
        <v>44</v>
      </c>
      <c r="C144" s="218"/>
      <c r="D144" s="217"/>
      <c r="E144" s="335"/>
      <c r="F144" s="359">
        <f>F143</f>
        <v>184642.51005499999</v>
      </c>
      <c r="G144" s="384"/>
      <c r="H144" s="384"/>
      <c r="I144" s="385"/>
      <c r="J144" s="386"/>
      <c r="K144" s="339"/>
      <c r="L144" s="387"/>
      <c r="M144" s="355"/>
    </row>
    <row r="145" spans="1:13" ht="24">
      <c r="A145" s="390">
        <v>4</v>
      </c>
      <c r="B145" s="391" t="s">
        <v>259</v>
      </c>
      <c r="C145" s="218"/>
      <c r="D145" s="217"/>
      <c r="E145" s="335"/>
      <c r="F145" s="359"/>
      <c r="G145" s="384"/>
      <c r="H145" s="384"/>
      <c r="I145" s="385"/>
      <c r="J145" s="386"/>
      <c r="K145" s="339"/>
      <c r="L145" s="387"/>
      <c r="M145" s="355"/>
    </row>
    <row r="146" spans="1:13" ht="48">
      <c r="A146" s="366">
        <f>A145+0.01</f>
        <v>4.01</v>
      </c>
      <c r="B146" s="382" t="s">
        <v>293</v>
      </c>
      <c r="C146" s="218" t="s">
        <v>32</v>
      </c>
      <c r="D146" s="388">
        <v>1</v>
      </c>
      <c r="E146" s="364">
        <v>11500</v>
      </c>
      <c r="F146" s="335">
        <f t="shared" si="28"/>
        <v>11500</v>
      </c>
      <c r="G146" s="384"/>
      <c r="H146" s="384"/>
      <c r="I146" s="385"/>
      <c r="J146" s="386"/>
      <c r="K146" s="339"/>
      <c r="L146" s="387"/>
      <c r="M146" s="355"/>
    </row>
    <row r="147" spans="1:13" ht="60">
      <c r="A147" s="366">
        <f>A146+0.01</f>
        <v>4.0199999999999996</v>
      </c>
      <c r="B147" s="382" t="s">
        <v>294</v>
      </c>
      <c r="C147" s="218" t="s">
        <v>32</v>
      </c>
      <c r="D147" s="388">
        <v>3</v>
      </c>
      <c r="E147" s="364">
        <v>18172</v>
      </c>
      <c r="F147" s="335">
        <f t="shared" si="28"/>
        <v>54516</v>
      </c>
      <c r="G147" s="384"/>
      <c r="H147" s="384"/>
      <c r="I147" s="385"/>
      <c r="J147" s="386"/>
      <c r="K147" s="339"/>
      <c r="L147" s="387"/>
      <c r="M147" s="355"/>
    </row>
    <row r="148" spans="1:13" ht="60">
      <c r="A148" s="366">
        <f t="shared" ref="A148:A150" si="32">A147+0.01</f>
        <v>4.0299999999999994</v>
      </c>
      <c r="B148" s="382" t="s">
        <v>295</v>
      </c>
      <c r="C148" s="218" t="s">
        <v>32</v>
      </c>
      <c r="D148" s="388">
        <v>1</v>
      </c>
      <c r="E148" s="364">
        <v>25250</v>
      </c>
      <c r="F148" s="335">
        <f t="shared" si="28"/>
        <v>25250</v>
      </c>
      <c r="G148" s="384"/>
      <c r="H148" s="384"/>
      <c r="I148" s="385"/>
      <c r="J148" s="386"/>
      <c r="K148" s="339"/>
      <c r="L148" s="387"/>
      <c r="M148" s="355"/>
    </row>
    <row r="149" spans="1:13" ht="24">
      <c r="A149" s="366">
        <f t="shared" si="32"/>
        <v>4.0399999999999991</v>
      </c>
      <c r="B149" s="382" t="s">
        <v>296</v>
      </c>
      <c r="C149" s="218" t="s">
        <v>88</v>
      </c>
      <c r="D149" s="388">
        <v>1</v>
      </c>
      <c r="E149" s="368">
        <v>253</v>
      </c>
      <c r="F149" s="335">
        <f t="shared" si="28"/>
        <v>253</v>
      </c>
      <c r="G149" s="384"/>
      <c r="H149" s="384"/>
      <c r="I149" s="385"/>
      <c r="J149" s="386"/>
      <c r="K149" s="339"/>
      <c r="L149" s="387"/>
      <c r="M149" s="355"/>
    </row>
    <row r="150" spans="1:13">
      <c r="A150" s="366">
        <f t="shared" si="32"/>
        <v>4.0499999999999989</v>
      </c>
      <c r="B150" s="374" t="s">
        <v>297</v>
      </c>
      <c r="C150" s="218" t="s">
        <v>88</v>
      </c>
      <c r="D150" s="388">
        <v>2</v>
      </c>
      <c r="E150" s="364">
        <v>4400</v>
      </c>
      <c r="F150" s="335">
        <f t="shared" si="28"/>
        <v>8800</v>
      </c>
      <c r="G150" s="384"/>
      <c r="H150" s="384"/>
      <c r="I150" s="385"/>
      <c r="J150" s="386"/>
      <c r="K150" s="339"/>
      <c r="L150" s="387"/>
      <c r="M150" s="355"/>
    </row>
    <row r="151" spans="1:13">
      <c r="A151" s="366"/>
      <c r="B151" s="92" t="s">
        <v>44</v>
      </c>
      <c r="C151" s="218"/>
      <c r="D151" s="217"/>
      <c r="E151" s="335"/>
      <c r="F151" s="359">
        <f>SUM(F146:F150)</f>
        <v>100319</v>
      </c>
      <c r="G151" s="384"/>
      <c r="H151" s="384"/>
      <c r="I151" s="385"/>
      <c r="J151" s="386"/>
      <c r="K151" s="339"/>
      <c r="L151" s="387"/>
      <c r="M151" s="355"/>
    </row>
    <row r="152" spans="1:13">
      <c r="A152" s="390">
        <v>5</v>
      </c>
      <c r="B152" s="357" t="s">
        <v>298</v>
      </c>
      <c r="C152" s="218"/>
      <c r="D152" s="217"/>
      <c r="E152" s="335"/>
      <c r="F152" s="359"/>
      <c r="G152" s="384"/>
      <c r="H152" s="384"/>
      <c r="I152" s="385"/>
      <c r="J152" s="386"/>
      <c r="K152" s="339"/>
      <c r="L152" s="387"/>
      <c r="M152" s="355"/>
    </row>
    <row r="153" spans="1:13">
      <c r="A153" s="366">
        <f>A152+0.01</f>
        <v>5.01</v>
      </c>
      <c r="B153" s="374" t="s">
        <v>299</v>
      </c>
      <c r="C153" s="218" t="s">
        <v>38</v>
      </c>
      <c r="D153" s="388">
        <v>53.9</v>
      </c>
      <c r="E153" s="368">
        <v>380</v>
      </c>
      <c r="F153" s="335">
        <f t="shared" si="28"/>
        <v>20482</v>
      </c>
      <c r="G153" s="384"/>
      <c r="H153" s="384"/>
      <c r="I153" s="385"/>
      <c r="J153" s="386"/>
      <c r="K153" s="339"/>
      <c r="L153" s="387"/>
      <c r="M153" s="355"/>
    </row>
    <row r="154" spans="1:13" ht="24">
      <c r="A154" s="366">
        <f t="shared" ref="A154:A165" si="33">A153+0.01</f>
        <v>5.0199999999999996</v>
      </c>
      <c r="B154" s="382" t="s">
        <v>300</v>
      </c>
      <c r="C154" s="218" t="s">
        <v>38</v>
      </c>
      <c r="D154" s="388">
        <v>3.23</v>
      </c>
      <c r="E154" s="364">
        <v>14454.65</v>
      </c>
      <c r="F154" s="335">
        <f t="shared" si="28"/>
        <v>46688.519500000002</v>
      </c>
      <c r="G154" s="384"/>
      <c r="H154" s="384"/>
      <c r="I154" s="385"/>
      <c r="J154" s="386"/>
      <c r="K154" s="339"/>
      <c r="L154" s="387"/>
      <c r="M154" s="355"/>
    </row>
    <row r="155" spans="1:13" ht="24">
      <c r="A155" s="366">
        <f t="shared" si="33"/>
        <v>5.0299999999999994</v>
      </c>
      <c r="B155" s="382" t="s">
        <v>301</v>
      </c>
      <c r="C155" s="218" t="s">
        <v>38</v>
      </c>
      <c r="D155" s="388">
        <v>3.23</v>
      </c>
      <c r="E155" s="364">
        <v>21541.448899999999</v>
      </c>
      <c r="F155" s="335">
        <f t="shared" si="28"/>
        <v>69578.879946999994</v>
      </c>
      <c r="G155" s="384"/>
      <c r="H155" s="384"/>
      <c r="I155" s="385"/>
      <c r="J155" s="386"/>
      <c r="K155" s="339"/>
      <c r="L155" s="387"/>
      <c r="M155" s="355"/>
    </row>
    <row r="156" spans="1:13" ht="24">
      <c r="A156" s="366">
        <f t="shared" si="33"/>
        <v>5.0399999999999991</v>
      </c>
      <c r="B156" s="382" t="s">
        <v>302</v>
      </c>
      <c r="C156" s="218" t="s">
        <v>189</v>
      </c>
      <c r="D156" s="388">
        <v>51</v>
      </c>
      <c r="E156" s="368">
        <v>1057.72</v>
      </c>
      <c r="F156" s="335">
        <f t="shared" si="28"/>
        <v>53943.72</v>
      </c>
      <c r="G156" s="384"/>
      <c r="H156" s="384"/>
      <c r="I156" s="385"/>
      <c r="J156" s="386"/>
      <c r="K156" s="339"/>
      <c r="L156" s="387"/>
      <c r="M156" s="355"/>
    </row>
    <row r="157" spans="1:13" ht="24">
      <c r="A157" s="366">
        <f t="shared" si="33"/>
        <v>5.0499999999999989</v>
      </c>
      <c r="B157" s="382" t="s">
        <v>303</v>
      </c>
      <c r="C157" s="218" t="s">
        <v>38</v>
      </c>
      <c r="D157" s="388">
        <v>0.53</v>
      </c>
      <c r="E157" s="364">
        <v>27370.65</v>
      </c>
      <c r="F157" s="335">
        <f t="shared" si="28"/>
        <v>14506.444500000001</v>
      </c>
      <c r="G157" s="384"/>
      <c r="H157" s="384"/>
      <c r="I157" s="385"/>
      <c r="J157" s="386"/>
      <c r="K157" s="339"/>
      <c r="L157" s="387"/>
      <c r="M157" s="355"/>
    </row>
    <row r="158" spans="1:13" ht="24">
      <c r="A158" s="366">
        <f t="shared" si="33"/>
        <v>5.0599999999999987</v>
      </c>
      <c r="B158" s="382" t="s">
        <v>304</v>
      </c>
      <c r="C158" s="218" t="s">
        <v>38</v>
      </c>
      <c r="D158" s="388">
        <v>0.13</v>
      </c>
      <c r="E158" s="364">
        <v>35550.339999999997</v>
      </c>
      <c r="F158" s="335">
        <f t="shared" si="28"/>
        <v>4621.5441999999994</v>
      </c>
      <c r="G158" s="384"/>
      <c r="H158" s="384"/>
      <c r="I158" s="385"/>
      <c r="J158" s="386"/>
      <c r="K158" s="339"/>
      <c r="L158" s="387"/>
      <c r="M158" s="355"/>
    </row>
    <row r="159" spans="1:13" ht="24">
      <c r="A159" s="366">
        <f t="shared" si="33"/>
        <v>5.0699999999999985</v>
      </c>
      <c r="B159" s="382" t="s">
        <v>305</v>
      </c>
      <c r="C159" s="218" t="s">
        <v>38</v>
      </c>
      <c r="D159" s="388">
        <v>1.07</v>
      </c>
      <c r="E159" s="364">
        <v>25665.24</v>
      </c>
      <c r="F159" s="335">
        <f t="shared" si="28"/>
        <v>27461.806800000002</v>
      </c>
      <c r="G159" s="384"/>
      <c r="H159" s="384"/>
      <c r="I159" s="385"/>
      <c r="J159" s="386"/>
      <c r="K159" s="339"/>
      <c r="L159" s="387"/>
      <c r="M159" s="355"/>
    </row>
    <row r="160" spans="1:13" ht="24">
      <c r="A160" s="366">
        <f t="shared" si="33"/>
        <v>5.0799999999999983</v>
      </c>
      <c r="B160" s="382" t="s">
        <v>306</v>
      </c>
      <c r="C160" s="218" t="s">
        <v>38</v>
      </c>
      <c r="D160" s="388">
        <v>2.5499999999999998</v>
      </c>
      <c r="E160" s="364">
        <v>11850.62</v>
      </c>
      <c r="F160" s="335">
        <f t="shared" si="28"/>
        <v>30219.080999999998</v>
      </c>
      <c r="G160" s="384"/>
      <c r="H160" s="384"/>
      <c r="I160" s="385"/>
      <c r="J160" s="386"/>
      <c r="K160" s="339"/>
      <c r="L160" s="387"/>
      <c r="M160" s="355"/>
    </row>
    <row r="161" spans="1:13" ht="24">
      <c r="A161" s="366">
        <f t="shared" si="33"/>
        <v>5.0899999999999981</v>
      </c>
      <c r="B161" s="382" t="s">
        <v>307</v>
      </c>
      <c r="C161" s="218" t="s">
        <v>38</v>
      </c>
      <c r="D161" s="388">
        <v>1.25</v>
      </c>
      <c r="E161" s="364">
        <v>9085.4</v>
      </c>
      <c r="F161" s="335">
        <f t="shared" si="28"/>
        <v>11356.75</v>
      </c>
      <c r="G161" s="384"/>
      <c r="H161" s="384"/>
      <c r="I161" s="385"/>
      <c r="J161" s="386"/>
      <c r="K161" s="339"/>
      <c r="L161" s="387"/>
      <c r="M161" s="355"/>
    </row>
    <row r="162" spans="1:13">
      <c r="A162" s="366">
        <f t="shared" si="33"/>
        <v>5.0999999999999979</v>
      </c>
      <c r="B162" s="382" t="s">
        <v>308</v>
      </c>
      <c r="C162" s="218" t="s">
        <v>189</v>
      </c>
      <c r="D162" s="388">
        <v>84.56</v>
      </c>
      <c r="E162" s="368">
        <v>418.88</v>
      </c>
      <c r="F162" s="335">
        <f t="shared" si="28"/>
        <v>35420.4928</v>
      </c>
      <c r="G162" s="384"/>
      <c r="H162" s="384"/>
      <c r="I162" s="385"/>
      <c r="J162" s="386"/>
      <c r="K162" s="339"/>
      <c r="L162" s="387"/>
      <c r="M162" s="355"/>
    </row>
    <row r="163" spans="1:13">
      <c r="A163" s="366">
        <f t="shared" si="33"/>
        <v>5.1099999999999977</v>
      </c>
      <c r="B163" s="382" t="s">
        <v>309</v>
      </c>
      <c r="C163" s="218" t="s">
        <v>30</v>
      </c>
      <c r="D163" s="388">
        <v>16</v>
      </c>
      <c r="E163" s="368">
        <v>161.12</v>
      </c>
      <c r="F163" s="335">
        <f t="shared" si="28"/>
        <v>2577.92</v>
      </c>
      <c r="G163" s="384"/>
      <c r="H163" s="384"/>
      <c r="I163" s="385"/>
      <c r="J163" s="386"/>
      <c r="K163" s="339"/>
      <c r="L163" s="387"/>
      <c r="M163" s="355"/>
    </row>
    <row r="164" spans="1:13">
      <c r="A164" s="366">
        <f t="shared" si="33"/>
        <v>5.1199999999999974</v>
      </c>
      <c r="B164" s="382" t="s">
        <v>310</v>
      </c>
      <c r="C164" s="218" t="s">
        <v>32</v>
      </c>
      <c r="D164" s="388">
        <v>1</v>
      </c>
      <c r="E164" s="364">
        <v>4500</v>
      </c>
      <c r="F164" s="335">
        <f t="shared" si="28"/>
        <v>4500</v>
      </c>
      <c r="G164" s="384"/>
      <c r="H164" s="384"/>
      <c r="I164" s="385"/>
      <c r="J164" s="386"/>
      <c r="K164" s="339"/>
      <c r="L164" s="387"/>
      <c r="M164" s="355"/>
    </row>
    <row r="165" spans="1:13">
      <c r="A165" s="366">
        <f t="shared" si="33"/>
        <v>5.1299999999999972</v>
      </c>
      <c r="B165" s="382" t="s">
        <v>311</v>
      </c>
      <c r="C165" s="218" t="s">
        <v>38</v>
      </c>
      <c r="D165" s="388">
        <v>70.069999999999993</v>
      </c>
      <c r="E165" s="368">
        <v>280</v>
      </c>
      <c r="F165" s="335">
        <f t="shared" si="28"/>
        <v>19619.599999999999</v>
      </c>
      <c r="G165" s="384"/>
      <c r="H165" s="384"/>
      <c r="I165" s="385"/>
      <c r="J165" s="386"/>
      <c r="K165" s="339"/>
      <c r="L165" s="387"/>
      <c r="M165" s="355"/>
    </row>
    <row r="166" spans="1:13">
      <c r="A166" s="366"/>
      <c r="B166" s="92" t="s">
        <v>44</v>
      </c>
      <c r="C166" s="218"/>
      <c r="D166" s="217"/>
      <c r="E166" s="335"/>
      <c r="F166" s="359">
        <f>SUM(F153:F165)</f>
        <v>340976.75874699996</v>
      </c>
      <c r="G166" s="384"/>
      <c r="H166" s="384"/>
      <c r="I166" s="385"/>
      <c r="J166" s="386"/>
      <c r="K166" s="339"/>
      <c r="L166" s="387"/>
      <c r="M166" s="355"/>
    </row>
    <row r="167" spans="1:13">
      <c r="A167" s="390">
        <v>6</v>
      </c>
      <c r="B167" s="391" t="s">
        <v>312</v>
      </c>
      <c r="C167" s="204"/>
      <c r="D167" s="205"/>
      <c r="E167" s="359"/>
      <c r="F167" s="359"/>
      <c r="G167" s="384"/>
      <c r="H167" s="384"/>
      <c r="I167" s="385"/>
      <c r="J167" s="386"/>
      <c r="K167" s="339"/>
      <c r="L167" s="387"/>
      <c r="M167" s="355"/>
    </row>
    <row r="168" spans="1:13" ht="36">
      <c r="A168" s="366">
        <f>A167+0.01</f>
        <v>6.01</v>
      </c>
      <c r="B168" s="382" t="s">
        <v>313</v>
      </c>
      <c r="C168" s="218" t="s">
        <v>32</v>
      </c>
      <c r="D168" s="217">
        <v>1</v>
      </c>
      <c r="E168" s="364">
        <v>250000</v>
      </c>
      <c r="F168" s="335">
        <f t="shared" ref="F168:F169" si="34">E168*D168</f>
        <v>250000</v>
      </c>
      <c r="G168" s="384"/>
      <c r="H168" s="384"/>
      <c r="I168" s="385"/>
      <c r="J168" s="386"/>
      <c r="K168" s="339"/>
      <c r="L168" s="387"/>
      <c r="M168" s="355"/>
    </row>
    <row r="169" spans="1:13" ht="48">
      <c r="A169" s="366">
        <f>A168+0.01</f>
        <v>6.02</v>
      </c>
      <c r="B169" s="382" t="s">
        <v>314</v>
      </c>
      <c r="C169" s="218" t="s">
        <v>88</v>
      </c>
      <c r="D169" s="217">
        <v>1</v>
      </c>
      <c r="E169" s="364">
        <v>77000</v>
      </c>
      <c r="F169" s="335">
        <f t="shared" si="34"/>
        <v>77000</v>
      </c>
      <c r="G169" s="384"/>
      <c r="H169" s="384"/>
      <c r="I169" s="385"/>
      <c r="J169" s="386"/>
      <c r="K169" s="339"/>
      <c r="L169" s="387"/>
      <c r="M169" s="355"/>
    </row>
    <row r="170" spans="1:13">
      <c r="A170" s="366"/>
      <c r="B170" s="92" t="s">
        <v>44</v>
      </c>
      <c r="C170" s="218"/>
      <c r="D170" s="217"/>
      <c r="E170" s="335"/>
      <c r="F170" s="359">
        <f>SUM(F168:F169)</f>
        <v>327000</v>
      </c>
      <c r="G170" s="384"/>
      <c r="H170" s="384"/>
      <c r="I170" s="385"/>
      <c r="J170" s="386"/>
      <c r="K170" s="339"/>
      <c r="L170" s="387"/>
      <c r="M170" s="355"/>
    </row>
    <row r="171" spans="1:13">
      <c r="A171" s="366"/>
      <c r="B171" s="92"/>
      <c r="C171" s="218"/>
      <c r="D171" s="217"/>
      <c r="E171" s="335"/>
      <c r="F171" s="359">
        <f>F170+F166+F151+F144+F141+F135</f>
        <v>1050472.6688020001</v>
      </c>
      <c r="G171" s="384"/>
      <c r="H171" s="384"/>
      <c r="I171" s="385"/>
      <c r="J171" s="386"/>
      <c r="K171" s="339"/>
      <c r="L171" s="387"/>
      <c r="M171" s="355"/>
    </row>
    <row r="172" spans="1:13">
      <c r="A172" s="366"/>
      <c r="B172" s="357" t="s">
        <v>315</v>
      </c>
      <c r="C172" s="218"/>
      <c r="D172" s="217"/>
      <c r="E172" s="335"/>
      <c r="F172" s="397">
        <f>F171+F130+F82</f>
        <v>9964595.2752020024</v>
      </c>
      <c r="G172" s="398"/>
      <c r="H172" s="398"/>
      <c r="I172" s="399"/>
      <c r="J172" s="398"/>
      <c r="K172" s="400"/>
      <c r="L172" s="401">
        <f>L99+L96+L93+L87</f>
        <v>3450550.75</v>
      </c>
      <c r="M172" s="355"/>
    </row>
    <row r="173" spans="1:13">
      <c r="A173" s="402"/>
      <c r="B173" s="403"/>
      <c r="C173" s="154"/>
      <c r="D173" s="404"/>
      <c r="E173" s="405"/>
      <c r="F173" s="406"/>
      <c r="G173" s="407"/>
      <c r="H173" s="407"/>
      <c r="I173" s="408"/>
      <c r="J173" s="409"/>
      <c r="K173" s="410"/>
      <c r="L173" s="411"/>
      <c r="M173" s="411"/>
    </row>
    <row r="174" spans="1:13">
      <c r="A174" s="402"/>
      <c r="B174" s="403"/>
      <c r="C174" s="154"/>
      <c r="D174" s="404"/>
      <c r="E174" s="405"/>
      <c r="F174" s="406"/>
      <c r="G174" s="407"/>
      <c r="H174" s="407"/>
      <c r="I174" s="408"/>
      <c r="J174" s="409"/>
      <c r="K174" s="410"/>
      <c r="L174" s="411"/>
      <c r="M174" s="411"/>
    </row>
    <row r="175" spans="1:13">
      <c r="A175" s="402"/>
      <c r="B175" s="403"/>
      <c r="C175" s="154"/>
      <c r="D175" s="404"/>
      <c r="E175" s="405"/>
      <c r="F175" s="406"/>
      <c r="G175" s="407"/>
      <c r="H175" s="407"/>
      <c r="I175" s="408"/>
      <c r="J175" s="409"/>
      <c r="K175" s="410"/>
      <c r="L175" s="411"/>
      <c r="M175" s="411"/>
    </row>
    <row r="176" spans="1:13">
      <c r="A176" s="402"/>
      <c r="B176" s="403"/>
      <c r="C176" s="154"/>
      <c r="D176" s="404"/>
      <c r="E176" s="405"/>
      <c r="F176" s="406"/>
      <c r="G176" s="407"/>
      <c r="H176" s="407"/>
      <c r="I176" s="408"/>
      <c r="J176" s="409"/>
      <c r="K176" s="410"/>
      <c r="L176" s="411"/>
      <c r="M176" s="411"/>
    </row>
    <row r="177" spans="1:13">
      <c r="A177" s="402"/>
      <c r="B177" s="403"/>
      <c r="C177" s="154"/>
      <c r="D177" s="404"/>
      <c r="E177" s="405"/>
      <c r="F177" s="406"/>
      <c r="G177" s="407"/>
      <c r="H177" s="407"/>
      <c r="I177" s="408"/>
      <c r="J177" s="409"/>
      <c r="K177" s="410"/>
      <c r="L177" s="411"/>
      <c r="M177" s="411"/>
    </row>
    <row r="178" spans="1:13">
      <c r="A178" s="402"/>
      <c r="B178" s="403"/>
      <c r="C178" s="154"/>
      <c r="D178" s="404"/>
      <c r="E178" s="405"/>
      <c r="F178" s="406"/>
      <c r="G178" s="407"/>
      <c r="H178" s="407"/>
      <c r="I178" s="408"/>
      <c r="J178" s="409"/>
      <c r="K178" s="410"/>
      <c r="L178" s="411"/>
      <c r="M178" s="411"/>
    </row>
    <row r="179" spans="1:13">
      <c r="A179" s="402"/>
      <c r="B179" s="403"/>
      <c r="C179" s="154"/>
      <c r="D179" s="404"/>
      <c r="E179" s="405"/>
      <c r="F179" s="406"/>
      <c r="G179" s="407"/>
      <c r="H179" s="407"/>
      <c r="I179" s="408"/>
      <c r="J179" s="409"/>
      <c r="K179" s="410"/>
      <c r="L179" s="411"/>
      <c r="M179" s="411"/>
    </row>
    <row r="180" spans="1:13">
      <c r="A180" s="402"/>
      <c r="B180" s="403"/>
      <c r="C180" s="154"/>
      <c r="D180" s="404"/>
      <c r="E180" s="405"/>
      <c r="F180" s="406"/>
      <c r="G180" s="407"/>
      <c r="H180" s="407"/>
      <c r="I180" s="408"/>
      <c r="J180" s="409"/>
      <c r="K180" s="410"/>
      <c r="L180" s="411"/>
      <c r="M180" s="411"/>
    </row>
    <row r="181" spans="1:13">
      <c r="A181" s="402"/>
      <c r="B181" s="403"/>
      <c r="C181" s="154"/>
      <c r="D181" s="404"/>
      <c r="E181" s="405"/>
      <c r="F181" s="406"/>
      <c r="G181" s="407"/>
      <c r="H181" s="407"/>
      <c r="I181" s="408"/>
      <c r="J181" s="409"/>
      <c r="K181" s="410"/>
      <c r="L181" s="411"/>
      <c r="M181" s="411"/>
    </row>
    <row r="182" spans="1:13">
      <c r="A182" s="402"/>
      <c r="B182" s="403"/>
      <c r="C182" s="154"/>
      <c r="D182" s="404"/>
      <c r="E182" s="405"/>
      <c r="F182" s="406"/>
      <c r="G182" s="407"/>
      <c r="H182" s="407"/>
      <c r="I182" s="408"/>
      <c r="J182" s="409"/>
      <c r="K182" s="410"/>
      <c r="L182" s="411"/>
      <c r="M182" s="411"/>
    </row>
    <row r="183" spans="1:13">
      <c r="A183" s="402"/>
      <c r="B183" s="403"/>
      <c r="C183" s="154"/>
      <c r="D183" s="404"/>
      <c r="E183" s="405"/>
      <c r="F183" s="406"/>
      <c r="G183" s="407"/>
      <c r="H183" s="407"/>
      <c r="I183" s="408"/>
      <c r="J183" s="409"/>
      <c r="K183" s="410"/>
      <c r="L183" s="411"/>
      <c r="M183" s="411"/>
    </row>
    <row r="184" spans="1:13">
      <c r="A184" s="402"/>
      <c r="B184" s="403"/>
      <c r="C184" s="154"/>
      <c r="D184" s="404"/>
      <c r="E184" s="405"/>
      <c r="F184" s="406"/>
      <c r="G184" s="407"/>
      <c r="H184" s="407"/>
      <c r="I184" s="408"/>
      <c r="J184" s="409"/>
      <c r="K184" s="410"/>
      <c r="L184" s="411"/>
      <c r="M184" s="411"/>
    </row>
    <row r="185" spans="1:13">
      <c r="A185" s="402"/>
      <c r="B185" s="403"/>
      <c r="C185" s="154"/>
      <c r="D185" s="404"/>
      <c r="E185" s="405"/>
      <c r="F185" s="406"/>
      <c r="G185" s="407"/>
      <c r="H185" s="407"/>
      <c r="I185" s="408"/>
      <c r="J185" s="409"/>
      <c r="K185" s="410"/>
      <c r="L185" s="411"/>
      <c r="M185" s="411"/>
    </row>
    <row r="186" spans="1:13">
      <c r="A186" s="402"/>
      <c r="B186" s="403"/>
      <c r="C186" s="154"/>
      <c r="D186" s="404"/>
      <c r="E186" s="405"/>
      <c r="F186" s="406"/>
      <c r="G186" s="407"/>
      <c r="H186" s="407"/>
      <c r="I186" s="408"/>
      <c r="J186" s="409"/>
      <c r="K186" s="410"/>
      <c r="L186" s="411"/>
      <c r="M186" s="411"/>
    </row>
    <row r="187" spans="1:13">
      <c r="A187" s="402"/>
      <c r="B187" s="403"/>
      <c r="C187" s="154"/>
      <c r="D187" s="404"/>
      <c r="E187" s="405"/>
      <c r="F187" s="406"/>
      <c r="G187" s="407"/>
      <c r="H187" s="407"/>
      <c r="I187" s="408"/>
      <c r="J187" s="409"/>
      <c r="K187" s="410"/>
      <c r="L187" s="411"/>
      <c r="M187" s="411"/>
    </row>
    <row r="188" spans="1:13">
      <c r="A188" s="402"/>
      <c r="B188" s="403"/>
      <c r="C188" s="154"/>
      <c r="D188" s="404"/>
      <c r="E188" s="405"/>
      <c r="F188" s="406"/>
      <c r="G188" s="407"/>
      <c r="H188" s="407"/>
      <c r="I188" s="408"/>
      <c r="J188" s="409"/>
      <c r="K188" s="410"/>
      <c r="L188" s="411"/>
      <c r="M188" s="411"/>
    </row>
    <row r="189" spans="1:13">
      <c r="A189" s="402"/>
      <c r="B189" s="403"/>
      <c r="C189" s="154"/>
      <c r="D189" s="404"/>
      <c r="E189" s="405"/>
      <c r="F189" s="406"/>
      <c r="G189" s="407"/>
      <c r="H189" s="407"/>
      <c r="I189" s="408"/>
      <c r="J189" s="409"/>
      <c r="K189" s="410"/>
      <c r="L189" s="411"/>
      <c r="M189" s="411"/>
    </row>
    <row r="190" spans="1:13">
      <c r="A190" s="402"/>
      <c r="B190" s="403"/>
      <c r="C190" s="154"/>
      <c r="D190" s="404"/>
      <c r="E190" s="405"/>
      <c r="F190" s="406"/>
      <c r="G190" s="407"/>
      <c r="H190" s="407"/>
      <c r="I190" s="408"/>
      <c r="J190" s="409"/>
      <c r="K190" s="410"/>
      <c r="L190" s="411"/>
      <c r="M190" s="411"/>
    </row>
    <row r="191" spans="1:13">
      <c r="A191" s="402"/>
      <c r="B191" s="403"/>
      <c r="C191" s="154"/>
      <c r="D191" s="404"/>
      <c r="E191" s="405"/>
      <c r="F191" s="406"/>
      <c r="G191" s="407"/>
      <c r="H191" s="407"/>
      <c r="I191" s="408"/>
      <c r="J191" s="409"/>
      <c r="K191" s="410"/>
      <c r="L191" s="411"/>
      <c r="M191" s="411"/>
    </row>
    <row r="192" spans="1:13">
      <c r="A192" s="402"/>
      <c r="B192" s="403"/>
      <c r="C192" s="154"/>
      <c r="D192" s="404"/>
      <c r="E192" s="405"/>
      <c r="F192" s="406"/>
      <c r="G192" s="407"/>
      <c r="H192" s="407"/>
      <c r="I192" s="408"/>
      <c r="J192" s="409"/>
      <c r="K192" s="410"/>
      <c r="L192" s="411"/>
      <c r="M192" s="411"/>
    </row>
    <row r="193" spans="1:13">
      <c r="A193" s="402"/>
      <c r="B193" s="403"/>
      <c r="C193" s="154"/>
      <c r="D193" s="404"/>
      <c r="E193" s="405"/>
      <c r="F193" s="406"/>
      <c r="G193" s="407"/>
      <c r="H193" s="407"/>
      <c r="I193" s="408"/>
      <c r="J193" s="409"/>
      <c r="K193" s="410"/>
      <c r="L193" s="411"/>
      <c r="M193" s="411"/>
    </row>
    <row r="194" spans="1:13">
      <c r="A194" s="402"/>
      <c r="B194" s="403"/>
      <c r="C194" s="154"/>
      <c r="D194" s="404"/>
      <c r="E194" s="405"/>
      <c r="F194" s="406"/>
      <c r="G194" s="407"/>
      <c r="H194" s="407"/>
      <c r="I194" s="408"/>
      <c r="J194" s="409"/>
      <c r="K194" s="410"/>
      <c r="L194" s="411"/>
      <c r="M194" s="411"/>
    </row>
    <row r="195" spans="1:13">
      <c r="A195" s="402"/>
      <c r="B195" s="403"/>
      <c r="C195" s="154"/>
      <c r="D195" s="404"/>
      <c r="E195" s="405"/>
      <c r="F195" s="406"/>
      <c r="G195" s="407"/>
      <c r="H195" s="407"/>
      <c r="I195" s="408"/>
      <c r="J195" s="409"/>
      <c r="K195" s="410"/>
      <c r="L195" s="411"/>
      <c r="M195" s="411"/>
    </row>
    <row r="196" spans="1:13">
      <c r="A196" s="402"/>
      <c r="B196" s="403"/>
      <c r="C196" s="154"/>
      <c r="D196" s="404"/>
      <c r="E196" s="405"/>
      <c r="F196" s="406"/>
      <c r="G196" s="407"/>
      <c r="H196" s="407"/>
      <c r="I196" s="408"/>
      <c r="J196" s="409"/>
      <c r="K196" s="410"/>
      <c r="L196" s="411"/>
      <c r="M196" s="411"/>
    </row>
    <row r="197" spans="1:13">
      <c r="A197" s="402"/>
      <c r="B197" s="403"/>
      <c r="C197" s="154"/>
      <c r="D197" s="404"/>
      <c r="E197" s="405"/>
      <c r="F197" s="406"/>
      <c r="G197" s="407"/>
      <c r="H197" s="407"/>
      <c r="I197" s="408"/>
      <c r="J197" s="409"/>
      <c r="K197" s="410"/>
      <c r="L197" s="411"/>
      <c r="M197" s="411"/>
    </row>
    <row r="198" spans="1:13">
      <c r="A198" s="402"/>
      <c r="B198" s="403"/>
      <c r="C198" s="154"/>
      <c r="D198" s="404"/>
      <c r="E198" s="405"/>
      <c r="F198" s="406"/>
      <c r="G198" s="407"/>
      <c r="H198" s="407"/>
      <c r="I198" s="408"/>
      <c r="J198" s="409"/>
      <c r="K198" s="410"/>
      <c r="L198" s="411"/>
      <c r="M198" s="411"/>
    </row>
    <row r="199" spans="1:13">
      <c r="A199" s="402"/>
      <c r="B199" s="403"/>
      <c r="C199" s="154"/>
      <c r="D199" s="404"/>
      <c r="E199" s="405"/>
      <c r="F199" s="406"/>
      <c r="G199" s="407"/>
      <c r="H199" s="407"/>
      <c r="I199" s="408"/>
      <c r="J199" s="409"/>
      <c r="K199" s="410"/>
      <c r="L199" s="411"/>
      <c r="M199" s="411"/>
    </row>
    <row r="200" spans="1:13">
      <c r="A200" s="402"/>
      <c r="B200" s="403"/>
      <c r="C200" s="154"/>
      <c r="D200" s="404"/>
      <c r="E200" s="405"/>
      <c r="F200" s="406"/>
      <c r="G200" s="407"/>
      <c r="H200" s="407"/>
      <c r="I200" s="408"/>
      <c r="J200" s="409"/>
      <c r="K200" s="410"/>
      <c r="L200" s="411"/>
      <c r="M200" s="411"/>
    </row>
    <row r="201" spans="1:13">
      <c r="A201" s="402"/>
      <c r="B201" s="403"/>
      <c r="C201" s="154"/>
      <c r="D201" s="404"/>
      <c r="E201" s="405"/>
      <c r="F201" s="406"/>
      <c r="G201" s="407"/>
      <c r="H201" s="407"/>
      <c r="I201" s="408"/>
      <c r="J201" s="409"/>
      <c r="K201" s="410"/>
      <c r="L201" s="411"/>
      <c r="M201" s="411"/>
    </row>
    <row r="202" spans="1:13">
      <c r="A202" s="402"/>
      <c r="B202" s="403"/>
      <c r="C202" s="154"/>
      <c r="D202" s="404"/>
      <c r="E202" s="405"/>
      <c r="F202" s="406"/>
      <c r="G202" s="407"/>
      <c r="H202" s="407"/>
      <c r="I202" s="408"/>
      <c r="J202" s="409"/>
      <c r="K202" s="410"/>
      <c r="L202" s="411"/>
      <c r="M202" s="411"/>
    </row>
    <row r="203" spans="1:13">
      <c r="A203" s="402"/>
      <c r="B203" s="403"/>
      <c r="C203" s="154"/>
      <c r="D203" s="404"/>
      <c r="E203" s="405"/>
      <c r="F203" s="406"/>
      <c r="G203" s="407"/>
      <c r="H203" s="407"/>
      <c r="I203" s="408"/>
      <c r="J203" s="409"/>
      <c r="K203" s="410"/>
      <c r="L203" s="411"/>
      <c r="M203" s="411"/>
    </row>
    <row r="204" spans="1:13">
      <c r="A204" s="402"/>
      <c r="B204" s="403"/>
      <c r="C204" s="154"/>
      <c r="D204" s="404"/>
      <c r="E204" s="405"/>
      <c r="F204" s="406"/>
      <c r="G204" s="407"/>
      <c r="H204" s="407"/>
      <c r="I204" s="408"/>
      <c r="J204" s="409"/>
      <c r="K204" s="410"/>
      <c r="L204" s="411"/>
      <c r="M204" s="411"/>
    </row>
    <row r="205" spans="1:13">
      <c r="A205" s="402"/>
      <c r="B205" s="403"/>
      <c r="C205" s="154"/>
      <c r="D205" s="404"/>
      <c r="E205" s="405"/>
      <c r="F205" s="406"/>
      <c r="G205" s="407"/>
      <c r="H205" s="407"/>
      <c r="I205" s="408"/>
      <c r="J205" s="409"/>
      <c r="K205" s="410"/>
      <c r="L205" s="411"/>
      <c r="M205" s="411"/>
    </row>
    <row r="206" spans="1:13">
      <c r="A206" s="1004" t="s">
        <v>0</v>
      </c>
      <c r="B206" s="1004"/>
      <c r="C206" s="1004"/>
      <c r="D206" s="1004"/>
      <c r="E206" s="1004"/>
      <c r="F206" s="1004"/>
      <c r="G206" s="1004"/>
      <c r="H206" s="1004"/>
      <c r="I206" s="1004"/>
      <c r="J206" s="1004"/>
      <c r="K206" s="1004"/>
      <c r="L206" s="1004"/>
      <c r="M206" s="411"/>
    </row>
    <row r="207" spans="1:13">
      <c r="A207" s="1004"/>
      <c r="B207" s="1004"/>
      <c r="C207" s="1004"/>
      <c r="D207" s="1004"/>
      <c r="E207" s="1004"/>
      <c r="F207" s="1004"/>
      <c r="G207" s="1004"/>
      <c r="H207" s="1004"/>
      <c r="I207" s="1004"/>
      <c r="J207" s="1004"/>
      <c r="K207" s="1004"/>
      <c r="L207" s="1004"/>
      <c r="M207" s="411"/>
    </row>
    <row r="208" spans="1:13">
      <c r="B208" s="1005" t="s">
        <v>1</v>
      </c>
      <c r="C208" s="1005"/>
      <c r="D208" s="1005"/>
      <c r="E208" s="1005"/>
      <c r="F208" s="1005"/>
      <c r="G208" s="1005"/>
      <c r="H208" s="1005"/>
      <c r="I208" s="1005"/>
      <c r="J208" s="1005"/>
      <c r="K208" s="1005"/>
      <c r="L208" s="1005"/>
      <c r="M208" s="411"/>
    </row>
    <row r="209" spans="1:16">
      <c r="B209" s="2"/>
      <c r="C209" s="1"/>
      <c r="D209" s="2"/>
      <c r="E209" s="2"/>
      <c r="F209" s="2"/>
      <c r="G209" s="407"/>
      <c r="H209" s="407"/>
      <c r="I209" s="408"/>
      <c r="J209" s="412"/>
      <c r="K209" s="410"/>
      <c r="L209" s="411"/>
      <c r="M209" s="411"/>
    </row>
    <row r="210" spans="1:16" ht="39" customHeight="1">
      <c r="A210" s="3"/>
      <c r="B210" s="4" t="s">
        <v>2</v>
      </c>
      <c r="C210" s="1006" t="s">
        <v>177</v>
      </c>
      <c r="D210" s="1006"/>
      <c r="E210" s="1006"/>
      <c r="F210" s="1006"/>
      <c r="G210" s="413"/>
      <c r="H210" s="413"/>
      <c r="I210" s="414"/>
      <c r="J210" s="415"/>
      <c r="K210" s="408"/>
      <c r="L210" s="4" t="s">
        <v>4</v>
      </c>
      <c r="M210" s="6">
        <v>12047195.689999999</v>
      </c>
      <c r="N210" s="416"/>
    </row>
    <row r="211" spans="1:16">
      <c r="A211" s="3"/>
      <c r="B211" s="4" t="s">
        <v>5</v>
      </c>
      <c r="C211" s="7">
        <v>1</v>
      </c>
      <c r="D211" s="154"/>
      <c r="E211" s="8"/>
      <c r="F211" s="8"/>
      <c r="G211" s="407"/>
      <c r="H211" s="407"/>
      <c r="K211" s="408"/>
      <c r="L211" s="4" t="s">
        <v>6</v>
      </c>
      <c r="M211" s="6">
        <f>0.2*M210</f>
        <v>2409439.1379999998</v>
      </c>
    </row>
    <row r="212" spans="1:16">
      <c r="A212" s="3"/>
      <c r="B212" s="4" t="s">
        <v>7</v>
      </c>
      <c r="C212" s="8" t="s">
        <v>178</v>
      </c>
      <c r="D212" s="1"/>
      <c r="E212" s="8"/>
      <c r="F212" s="8"/>
      <c r="G212" s="407"/>
      <c r="H212" s="407"/>
      <c r="K212" s="408"/>
      <c r="L212" s="4" t="s">
        <v>9</v>
      </c>
      <c r="M212" s="13" t="s">
        <v>179</v>
      </c>
    </row>
    <row r="213" spans="1:16">
      <c r="A213" s="3"/>
      <c r="B213" s="4" t="s">
        <v>11</v>
      </c>
      <c r="C213" s="121" t="s">
        <v>180</v>
      </c>
      <c r="D213" s="1"/>
      <c r="E213" s="8"/>
      <c r="F213" s="8"/>
      <c r="G213" s="407"/>
      <c r="H213" s="407"/>
    </row>
    <row r="214" spans="1:16">
      <c r="G214" s="407"/>
      <c r="H214" s="407"/>
      <c r="I214" s="408"/>
      <c r="J214" s="409"/>
    </row>
    <row r="215" spans="1:16">
      <c r="B215" s="4" t="s">
        <v>124</v>
      </c>
      <c r="C215" s="406"/>
      <c r="D215" s="418" t="s">
        <v>94</v>
      </c>
      <c r="E215" s="418"/>
      <c r="G215" s="407"/>
      <c r="H215" s="1033" t="s">
        <v>22</v>
      </c>
      <c r="I215" s="1033"/>
      <c r="J215" s="1004" t="s">
        <v>23</v>
      </c>
      <c r="K215" s="1004"/>
      <c r="L215" s="1004" t="s">
        <v>24</v>
      </c>
      <c r="M215" s="1004"/>
      <c r="N215" s="2"/>
      <c r="O215" s="2"/>
      <c r="P215" s="154"/>
    </row>
    <row r="216" spans="1:16">
      <c r="D216" s="419">
        <f>F172</f>
        <v>9964595.2752020024</v>
      </c>
      <c r="E216" s="419"/>
      <c r="G216" s="407"/>
      <c r="H216" s="155"/>
      <c r="I216" s="155"/>
      <c r="J216" s="1056">
        <f>L172</f>
        <v>3450550.75</v>
      </c>
      <c r="K216" s="1056"/>
      <c r="L216" s="1057">
        <f>H216+J216</f>
        <v>3450550.75</v>
      </c>
      <c r="M216" s="1057"/>
      <c r="N216" s="3"/>
    </row>
    <row r="217" spans="1:16">
      <c r="G217" s="407"/>
      <c r="J217" s="420"/>
      <c r="K217" s="420"/>
      <c r="N217" s="3"/>
    </row>
    <row r="218" spans="1:16">
      <c r="B218" s="7" t="s">
        <v>96</v>
      </c>
      <c r="C218" s="166"/>
      <c r="D218" s="167"/>
      <c r="E218" s="167"/>
      <c r="G218" s="407"/>
      <c r="J218" s="420"/>
      <c r="K218" s="420"/>
      <c r="N218" s="3"/>
    </row>
    <row r="219" spans="1:16">
      <c r="B219" s="121" t="s">
        <v>98</v>
      </c>
      <c r="C219" s="170">
        <v>0.03</v>
      </c>
      <c r="D219" s="322">
        <f>C219*D216</f>
        <v>298937.85825606005</v>
      </c>
      <c r="E219" s="322"/>
      <c r="G219" s="407"/>
      <c r="H219" s="155"/>
      <c r="I219" s="155"/>
      <c r="J219" s="1057">
        <f>J216*C219</f>
        <v>103516.52249999999</v>
      </c>
      <c r="K219" s="1057"/>
      <c r="L219" s="1057">
        <f>H219+J219</f>
        <v>103516.52249999999</v>
      </c>
      <c r="M219" s="1057"/>
      <c r="N219" s="3"/>
      <c r="O219" s="3"/>
      <c r="P219" s="3"/>
    </row>
    <row r="220" spans="1:16">
      <c r="B220" s="121" t="s">
        <v>97</v>
      </c>
      <c r="C220" s="168">
        <v>0.1</v>
      </c>
      <c r="D220" s="322">
        <f>C220*D216</f>
        <v>996459.52752020024</v>
      </c>
      <c r="E220" s="322"/>
      <c r="G220" s="407"/>
      <c r="H220" s="155"/>
      <c r="I220" s="155"/>
      <c r="J220" s="1057">
        <f>J216*C220</f>
        <v>345055.07500000001</v>
      </c>
      <c r="K220" s="1057"/>
      <c r="L220" s="1057">
        <f t="shared" ref="L220:L225" si="35">H220+J220</f>
        <v>345055.07500000001</v>
      </c>
      <c r="M220" s="1057"/>
    </row>
    <row r="221" spans="1:16">
      <c r="B221" s="121" t="s">
        <v>103</v>
      </c>
      <c r="C221" s="168">
        <v>0.18</v>
      </c>
      <c r="D221" s="322">
        <f>C221*D220</f>
        <v>179362.71495363602</v>
      </c>
      <c r="E221" s="322"/>
      <c r="G221" s="407"/>
      <c r="H221" s="155"/>
      <c r="I221" s="155"/>
      <c r="J221" s="1057">
        <f>J220*C221</f>
        <v>62109.913500000002</v>
      </c>
      <c r="K221" s="1057"/>
      <c r="L221" s="1057">
        <f t="shared" si="35"/>
        <v>62109.913500000002</v>
      </c>
      <c r="M221" s="1057"/>
    </row>
    <row r="222" spans="1:16">
      <c r="B222" s="121" t="s">
        <v>316</v>
      </c>
      <c r="C222" s="172">
        <v>0.03</v>
      </c>
      <c r="D222" s="322">
        <f>C222*D216</f>
        <v>298937.85825606005</v>
      </c>
      <c r="E222" s="322"/>
      <c r="G222" s="407"/>
      <c r="H222" s="155"/>
      <c r="I222" s="155"/>
      <c r="J222" s="1057">
        <f>J216*C222</f>
        <v>103516.52249999999</v>
      </c>
      <c r="K222" s="1057"/>
      <c r="L222" s="1057">
        <f t="shared" si="35"/>
        <v>103516.52249999999</v>
      </c>
      <c r="M222" s="1057"/>
    </row>
    <row r="223" spans="1:16">
      <c r="B223" s="121" t="s">
        <v>99</v>
      </c>
      <c r="C223" s="166">
        <v>0.02</v>
      </c>
      <c r="D223" s="322">
        <f>C223*D216</f>
        <v>199291.90550404004</v>
      </c>
      <c r="E223" s="322"/>
      <c r="G223" s="407"/>
      <c r="H223" s="155"/>
      <c r="I223" s="155"/>
      <c r="J223" s="1057">
        <f>J216*C223</f>
        <v>69011.014999999999</v>
      </c>
      <c r="K223" s="1057"/>
      <c r="L223" s="1057">
        <f t="shared" si="35"/>
        <v>69011.014999999999</v>
      </c>
      <c r="M223" s="1057"/>
    </row>
    <row r="224" spans="1:16">
      <c r="B224" s="121"/>
      <c r="C224" s="168">
        <v>0.01</v>
      </c>
      <c r="D224" s="322">
        <f>C224*D216</f>
        <v>99645.952752020021</v>
      </c>
      <c r="E224" s="322"/>
      <c r="G224" s="407"/>
      <c r="H224" s="155"/>
      <c r="I224" s="155"/>
      <c r="J224" s="1057">
        <f>J216*C224</f>
        <v>34505.5075</v>
      </c>
      <c r="K224" s="1057"/>
      <c r="L224" s="1057">
        <f t="shared" si="35"/>
        <v>34505.5075</v>
      </c>
      <c r="M224" s="1057"/>
    </row>
    <row r="225" spans="2:13">
      <c r="B225" s="121" t="s">
        <v>102</v>
      </c>
      <c r="C225" s="166">
        <v>1E-3</v>
      </c>
      <c r="D225" s="322">
        <f>C225*D216</f>
        <v>9964.5952752020021</v>
      </c>
      <c r="E225" s="322"/>
      <c r="G225" s="407"/>
      <c r="H225" s="155"/>
      <c r="I225" s="155"/>
      <c r="J225" s="1057">
        <f>J216*C225</f>
        <v>3450.5507499999999</v>
      </c>
      <c r="K225" s="1057"/>
      <c r="L225" s="1057">
        <f t="shared" si="35"/>
        <v>3450.5507499999999</v>
      </c>
      <c r="M225" s="1057"/>
    </row>
    <row r="226" spans="2:13">
      <c r="B226" s="8"/>
      <c r="C226" s="168"/>
      <c r="D226" s="322"/>
      <c r="E226" s="322"/>
      <c r="G226" s="407"/>
      <c r="J226" s="421"/>
      <c r="K226" s="421"/>
      <c r="L226" s="1059"/>
      <c r="M226" s="1059"/>
    </row>
    <row r="227" spans="2:13">
      <c r="B227" s="173" t="s">
        <v>104</v>
      </c>
      <c r="C227" s="1"/>
      <c r="D227" s="322">
        <f>SUM(D219:E226)</f>
        <v>2082600.4125172184</v>
      </c>
      <c r="E227" s="322"/>
      <c r="G227" s="407"/>
      <c r="J227" s="1057">
        <f>SUM(J219:K225)</f>
        <v>721165.10675000004</v>
      </c>
      <c r="K227" s="1057"/>
      <c r="L227" s="1057">
        <f>H227+J227</f>
        <v>721165.10675000004</v>
      </c>
      <c r="M227" s="1057"/>
    </row>
    <row r="228" spans="2:13">
      <c r="B228" s="422"/>
      <c r="C228" s="423"/>
      <c r="D228" s="322"/>
      <c r="E228" s="322"/>
      <c r="G228" s="407"/>
      <c r="J228" s="424"/>
      <c r="K228" s="424"/>
      <c r="L228" s="1060"/>
      <c r="M228" s="1060"/>
    </row>
    <row r="229" spans="2:13">
      <c r="B229" s="8" t="s">
        <v>317</v>
      </c>
      <c r="C229" s="426"/>
      <c r="D229" s="322">
        <f>D216+D227+D228</f>
        <v>12047195.68771922</v>
      </c>
      <c r="E229" s="322"/>
      <c r="G229" s="407"/>
      <c r="J229" s="425"/>
      <c r="K229" s="425"/>
      <c r="L229" s="424"/>
      <c r="M229" s="424"/>
    </row>
    <row r="230" spans="2:13">
      <c r="B230" s="8"/>
      <c r="C230" s="168"/>
      <c r="D230" s="167"/>
      <c r="E230" s="167"/>
      <c r="G230" s="407"/>
      <c r="J230" s="424"/>
      <c r="K230" s="424"/>
      <c r="L230" s="424"/>
      <c r="M230" s="424"/>
    </row>
    <row r="231" spans="2:13">
      <c r="B231" s="179" t="s">
        <v>106</v>
      </c>
      <c r="C231" s="282"/>
      <c r="D231" s="154"/>
      <c r="G231" s="407"/>
      <c r="J231" s="1061">
        <f>J216+J227</f>
        <v>4171715.8567500003</v>
      </c>
      <c r="K231" s="1061"/>
      <c r="L231" s="1061">
        <f>H231+J231</f>
        <v>4171715.8567500003</v>
      </c>
      <c r="M231" s="1061"/>
    </row>
    <row r="232" spans="2:13">
      <c r="B232" s="182" t="s">
        <v>107</v>
      </c>
      <c r="C232" s="168"/>
      <c r="G232" s="407"/>
      <c r="J232" s="424"/>
      <c r="K232" s="427"/>
      <c r="L232" s="424"/>
      <c r="M232" s="424"/>
    </row>
    <row r="233" spans="2:13">
      <c r="B233" s="7" t="s">
        <v>108</v>
      </c>
      <c r="C233" s="154"/>
      <c r="D233" s="186">
        <v>0.2</v>
      </c>
      <c r="G233" s="407"/>
      <c r="J233" s="1057">
        <f>J231*0.2</f>
        <v>834343.17135000008</v>
      </c>
      <c r="K233" s="1057"/>
      <c r="L233" s="1057">
        <f t="shared" ref="L233" si="36">H233+J233</f>
        <v>834343.17135000008</v>
      </c>
      <c r="M233" s="1057"/>
    </row>
    <row r="234" spans="2:13">
      <c r="G234" s="407"/>
    </row>
    <row r="235" spans="2:13">
      <c r="G235" s="407"/>
    </row>
    <row r="236" spans="2:13">
      <c r="B236" s="7" t="s">
        <v>318</v>
      </c>
      <c r="C236" s="154"/>
      <c r="D236" s="154"/>
      <c r="G236" s="407"/>
      <c r="J236" s="1058">
        <f>J231-J233</f>
        <v>3337372.6854000003</v>
      </c>
      <c r="K236" s="1058"/>
      <c r="L236" s="1057">
        <f t="shared" ref="L236" si="37">H236+J236</f>
        <v>3337372.6854000003</v>
      </c>
      <c r="M236" s="1057"/>
    </row>
    <row r="237" spans="2:13">
      <c r="B237" s="7"/>
      <c r="C237" s="154"/>
      <c r="D237" s="154"/>
      <c r="G237" s="407"/>
      <c r="J237" s="419"/>
      <c r="K237" s="419"/>
      <c r="L237" s="419"/>
      <c r="M237" s="419"/>
    </row>
    <row r="238" spans="2:13">
      <c r="B238" s="7"/>
      <c r="C238" s="154"/>
      <c r="D238" s="154"/>
      <c r="G238" s="407"/>
      <c r="J238" s="419"/>
      <c r="K238" s="419"/>
      <c r="L238" s="419"/>
      <c r="M238" s="419"/>
    </row>
    <row r="239" spans="2:13">
      <c r="G239" s="407"/>
    </row>
    <row r="240" spans="2:13">
      <c r="G240" s="407"/>
      <c r="H240" s="407"/>
      <c r="I240" s="408"/>
    </row>
    <row r="241" spans="1:17">
      <c r="A241" s="122"/>
      <c r="B241" s="1" t="s">
        <v>110</v>
      </c>
      <c r="C241" s="1004" t="s">
        <v>111</v>
      </c>
      <c r="D241" s="1004"/>
      <c r="E241" s="1004"/>
      <c r="F241" s="1024" t="s">
        <v>11</v>
      </c>
      <c r="G241" s="1024"/>
      <c r="H241" s="1024"/>
      <c r="I241" s="1024"/>
      <c r="J241" s="1004" t="s">
        <v>112</v>
      </c>
      <c r="K241" s="1004"/>
      <c r="L241" s="1004"/>
      <c r="M241" s="1004"/>
      <c r="N241" s="8"/>
    </row>
    <row r="242" spans="1:17">
      <c r="A242" s="106"/>
      <c r="B242" s="1"/>
    </row>
    <row r="243" spans="1:17" ht="15" customHeight="1">
      <c r="A243" s="122"/>
      <c r="B243" s="1" t="s">
        <v>113</v>
      </c>
      <c r="C243" s="1004" t="s">
        <v>114</v>
      </c>
      <c r="D243" s="1004"/>
      <c r="E243" s="1004"/>
      <c r="F243" s="1038" t="s">
        <v>319</v>
      </c>
      <c r="G243" s="1038"/>
      <c r="H243" s="1038"/>
      <c r="I243" s="1038"/>
      <c r="J243" s="1022" t="s">
        <v>116</v>
      </c>
      <c r="K243" s="1022"/>
      <c r="L243" s="1022"/>
      <c r="M243" s="1022"/>
      <c r="N243" s="192"/>
    </row>
    <row r="244" spans="1:17">
      <c r="A244" s="122"/>
      <c r="B244" s="1" t="s">
        <v>117</v>
      </c>
      <c r="C244" s="1004" t="s">
        <v>118</v>
      </c>
      <c r="D244" s="1004"/>
      <c r="E244" s="1004"/>
      <c r="F244" s="1024" t="s">
        <v>180</v>
      </c>
      <c r="G244" s="1024"/>
      <c r="H244" s="1024"/>
      <c r="I244" s="1024"/>
      <c r="J244" s="1004" t="s">
        <v>119</v>
      </c>
      <c r="K244" s="1004"/>
      <c r="L244" s="1004"/>
      <c r="M244" s="1004"/>
      <c r="N244" s="8"/>
    </row>
    <row r="245" spans="1:17">
      <c r="Q245" s="428"/>
    </row>
    <row r="247" spans="1:17">
      <c r="G247" s="407"/>
      <c r="H247" s="407"/>
      <c r="I247" s="408"/>
    </row>
    <row r="248" spans="1:17">
      <c r="G248" s="407"/>
      <c r="H248" s="407"/>
      <c r="I248" s="408"/>
      <c r="L248" s="121"/>
      <c r="M248" s="121"/>
      <c r="N248" s="121"/>
      <c r="O248" s="1004"/>
      <c r="P248" s="1004"/>
      <c r="Q248" s="1004"/>
    </row>
    <row r="249" spans="1:17">
      <c r="G249" s="407"/>
      <c r="H249" s="407"/>
      <c r="I249" s="408"/>
      <c r="J249" s="1004"/>
      <c r="K249" s="1004"/>
      <c r="L249" s="1004"/>
      <c r="M249" s="1004"/>
      <c r="N249" s="1004"/>
      <c r="O249" s="1004"/>
      <c r="P249" s="1004"/>
    </row>
    <row r="250" spans="1:17">
      <c r="G250" s="407"/>
      <c r="H250" s="407"/>
      <c r="I250" s="408"/>
      <c r="J250" s="1062"/>
      <c r="K250" s="1062"/>
      <c r="L250" s="1062"/>
      <c r="M250" s="1062"/>
      <c r="N250" s="1062"/>
      <c r="O250" s="192"/>
      <c r="P250" s="192"/>
      <c r="Q250" s="192"/>
    </row>
    <row r="251" spans="1:17">
      <c r="G251" s="407"/>
      <c r="H251" s="407"/>
      <c r="I251" s="408"/>
      <c r="J251" s="191"/>
      <c r="K251" s="191"/>
      <c r="L251" s="191"/>
      <c r="M251" s="191"/>
      <c r="N251" s="1004"/>
      <c r="O251" s="1004"/>
      <c r="P251" s="1004"/>
      <c r="Q251" s="1004"/>
    </row>
    <row r="252" spans="1:17">
      <c r="G252" s="407"/>
      <c r="H252" s="407"/>
      <c r="I252" s="408"/>
    </row>
    <row r="253" spans="1:17">
      <c r="G253" s="407"/>
      <c r="H253" s="407"/>
      <c r="I253" s="407"/>
    </row>
    <row r="254" spans="1:17">
      <c r="G254" s="407"/>
      <c r="H254" s="407"/>
      <c r="I254" s="407"/>
    </row>
    <row r="269" spans="7:14">
      <c r="G269" s="1"/>
      <c r="H269" s="1"/>
      <c r="I269" s="1"/>
      <c r="J269" s="1"/>
      <c r="K269" s="1"/>
      <c r="L269" s="1"/>
      <c r="M269" s="1"/>
      <c r="N269" s="1"/>
    </row>
    <row r="270" spans="7:14">
      <c r="G270" s="2"/>
      <c r="H270" s="2"/>
      <c r="I270" s="2"/>
      <c r="J270" s="2"/>
      <c r="K270" s="2"/>
      <c r="L270" s="2"/>
      <c r="M270" s="2"/>
      <c r="N270" s="2"/>
    </row>
  </sheetData>
  <mergeCells count="52">
    <mergeCell ref="J250:N250"/>
    <mergeCell ref="N251:Q251"/>
    <mergeCell ref="C244:E244"/>
    <mergeCell ref="F244:I244"/>
    <mergeCell ref="J244:M244"/>
    <mergeCell ref="O248:Q248"/>
    <mergeCell ref="J249:M249"/>
    <mergeCell ref="N249:P249"/>
    <mergeCell ref="C241:E241"/>
    <mergeCell ref="F241:I241"/>
    <mergeCell ref="J241:M241"/>
    <mergeCell ref="C243:E243"/>
    <mergeCell ref="F243:I243"/>
    <mergeCell ref="J243:M243"/>
    <mergeCell ref="J236:K236"/>
    <mergeCell ref="L236:M236"/>
    <mergeCell ref="J224:K224"/>
    <mergeCell ref="L224:M224"/>
    <mergeCell ref="J225:K225"/>
    <mergeCell ref="L225:M225"/>
    <mergeCell ref="L226:M226"/>
    <mergeCell ref="J227:K227"/>
    <mergeCell ref="L227:M227"/>
    <mergeCell ref="L228:M228"/>
    <mergeCell ref="J231:K231"/>
    <mergeCell ref="L231:M231"/>
    <mergeCell ref="J233:K233"/>
    <mergeCell ref="L233:M233"/>
    <mergeCell ref="J221:K221"/>
    <mergeCell ref="L221:M221"/>
    <mergeCell ref="J222:K222"/>
    <mergeCell ref="L222:M222"/>
    <mergeCell ref="J223:K223"/>
    <mergeCell ref="L223:M223"/>
    <mergeCell ref="J216:K216"/>
    <mergeCell ref="L216:M216"/>
    <mergeCell ref="J219:K219"/>
    <mergeCell ref="L219:M219"/>
    <mergeCell ref="J220:K220"/>
    <mergeCell ref="L220:M220"/>
    <mergeCell ref="A206:L207"/>
    <mergeCell ref="B208:L208"/>
    <mergeCell ref="C210:F210"/>
    <mergeCell ref="H215:I215"/>
    <mergeCell ref="J215:K215"/>
    <mergeCell ref="L215:M215"/>
    <mergeCell ref="A1:M1"/>
    <mergeCell ref="A2:M2"/>
    <mergeCell ref="C4:F4"/>
    <mergeCell ref="A8:F8"/>
    <mergeCell ref="G8:J8"/>
    <mergeCell ref="K8:M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FE8AB-882C-48D7-8060-BCAEF251A3FD}">
  <dimension ref="A1:Q104"/>
  <sheetViews>
    <sheetView workbookViewId="0">
      <selection activeCell="G59" sqref="G59"/>
    </sheetView>
  </sheetViews>
  <sheetFormatPr baseColWidth="10" defaultColWidth="70.5703125" defaultRowHeight="15"/>
  <cols>
    <col min="1" max="1" width="8.85546875" customWidth="1"/>
    <col min="2" max="2" width="40.85546875" customWidth="1"/>
    <col min="3" max="3" width="11.140625" customWidth="1"/>
    <col min="4" max="4" width="13.5703125" customWidth="1"/>
    <col min="5" max="5" width="12" customWidth="1"/>
    <col min="6" max="6" width="14.85546875" bestFit="1" customWidth="1"/>
    <col min="7" max="7" width="10.140625" customWidth="1"/>
    <col min="8" max="8" width="10.28515625" customWidth="1"/>
    <col min="9" max="9" width="14.5703125" customWidth="1"/>
    <col min="10" max="10" width="8.85546875" customWidth="1"/>
    <col min="11" max="11" width="11.28515625" customWidth="1"/>
    <col min="12" max="12" width="12.85546875" customWidth="1"/>
    <col min="13" max="13" width="14.5703125" customWidth="1"/>
    <col min="14" max="14" width="18.7109375" customWidth="1"/>
    <col min="15" max="15" width="11.85546875" bestFit="1" customWidth="1"/>
  </cols>
  <sheetData>
    <row r="1" spans="1:13">
      <c r="A1" s="1004" t="s">
        <v>0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</row>
    <row r="2" spans="1:13">
      <c r="A2" s="1005" t="s">
        <v>1</v>
      </c>
      <c r="B2" s="1005"/>
      <c r="C2" s="1005"/>
      <c r="D2" s="1005"/>
      <c r="E2" s="1005"/>
      <c r="F2" s="1005"/>
      <c r="G2" s="1005"/>
      <c r="H2" s="1005"/>
      <c r="I2" s="1005"/>
      <c r="J2" s="1005"/>
      <c r="K2" s="1005"/>
      <c r="L2" s="1005"/>
      <c r="M2" s="1005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54" t="s">
        <v>320</v>
      </c>
    </row>
    <row r="4" spans="1:13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"/>
    </row>
    <row r="5" spans="1:13" ht="35.25" customHeight="1">
      <c r="A5" s="3"/>
      <c r="B5" s="4" t="s">
        <v>2</v>
      </c>
      <c r="C5" s="1006" t="s">
        <v>321</v>
      </c>
      <c r="D5" s="1006"/>
      <c r="E5" s="1006"/>
      <c r="F5" s="1006"/>
      <c r="G5" s="323"/>
      <c r="H5" s="3"/>
      <c r="I5" s="3"/>
      <c r="J5" s="3"/>
      <c r="K5" s="3"/>
      <c r="L5" s="4" t="s">
        <v>4</v>
      </c>
      <c r="M5" s="6">
        <v>4105183.65</v>
      </c>
    </row>
    <row r="6" spans="1:13">
      <c r="A6" s="3"/>
      <c r="B6" s="4" t="s">
        <v>5</v>
      </c>
      <c r="C6" s="7">
        <v>1</v>
      </c>
      <c r="D6" s="3"/>
      <c r="E6" s="8"/>
      <c r="F6" s="8"/>
      <c r="G6" s="8"/>
      <c r="H6" s="3"/>
      <c r="I6" s="3"/>
      <c r="J6" s="3"/>
      <c r="K6" s="3"/>
      <c r="L6" s="4" t="s">
        <v>6</v>
      </c>
      <c r="M6" s="6">
        <f>M5*0.2</f>
        <v>821036.73</v>
      </c>
    </row>
    <row r="7" spans="1:13">
      <c r="A7" s="3"/>
      <c r="B7" s="4" t="s">
        <v>7</v>
      </c>
      <c r="C7" s="8" t="s">
        <v>322</v>
      </c>
      <c r="D7" s="8"/>
      <c r="E7" s="8"/>
      <c r="F7" s="8"/>
      <c r="G7" s="11"/>
      <c r="H7" s="3"/>
      <c r="I7" s="3"/>
      <c r="J7" s="3"/>
      <c r="K7" s="3"/>
      <c r="L7" s="4" t="s">
        <v>9</v>
      </c>
      <c r="M7" s="13" t="s">
        <v>323</v>
      </c>
    </row>
    <row r="8" spans="1:13">
      <c r="A8" s="3"/>
      <c r="B8" s="4" t="s">
        <v>11</v>
      </c>
      <c r="C8" s="8" t="s">
        <v>324</v>
      </c>
      <c r="D8" s="8"/>
      <c r="E8" s="8"/>
      <c r="F8" s="8"/>
      <c r="G8" s="8"/>
      <c r="H8" s="3"/>
      <c r="I8" s="3"/>
      <c r="J8" s="3"/>
      <c r="K8" s="3"/>
      <c r="L8" s="3"/>
      <c r="M8" s="3"/>
    </row>
    <row r="9" spans="1:13">
      <c r="A9" s="1031" t="s">
        <v>181</v>
      </c>
      <c r="B9" s="1031"/>
      <c r="C9" s="1031"/>
      <c r="D9" s="1031"/>
      <c r="E9" s="1031"/>
      <c r="F9" s="1031"/>
      <c r="G9" s="1054" t="s">
        <v>14</v>
      </c>
      <c r="H9" s="1054"/>
      <c r="I9" s="1054"/>
      <c r="J9" s="1054"/>
      <c r="K9" s="1055" t="s">
        <v>15</v>
      </c>
      <c r="L9" s="1055"/>
      <c r="M9" s="1055"/>
    </row>
    <row r="10" spans="1:13" ht="15.75" thickBot="1">
      <c r="A10" s="325" t="s">
        <v>16</v>
      </c>
      <c r="B10" s="326" t="s">
        <v>17</v>
      </c>
      <c r="C10" s="326" t="s">
        <v>18</v>
      </c>
      <c r="D10" s="326" t="s">
        <v>94</v>
      </c>
      <c r="E10" s="327" t="s">
        <v>20</v>
      </c>
      <c r="F10" s="328" t="s">
        <v>21</v>
      </c>
      <c r="G10" s="329" t="s">
        <v>22</v>
      </c>
      <c r="H10" s="329" t="s">
        <v>23</v>
      </c>
      <c r="I10" s="330" t="s">
        <v>24</v>
      </c>
      <c r="J10" s="324" t="s">
        <v>25</v>
      </c>
      <c r="K10" s="331" t="s">
        <v>22</v>
      </c>
      <c r="L10" s="332" t="s">
        <v>23</v>
      </c>
      <c r="M10" s="333" t="s">
        <v>24</v>
      </c>
    </row>
    <row r="11" spans="1:13">
      <c r="A11" s="334">
        <v>1</v>
      </c>
      <c r="B11" s="92" t="s">
        <v>325</v>
      </c>
      <c r="C11" s="62"/>
      <c r="D11" s="218"/>
      <c r="E11" s="335"/>
      <c r="F11" s="335"/>
      <c r="G11" s="336"/>
      <c r="H11" s="336"/>
      <c r="I11" s="337"/>
      <c r="J11" s="338"/>
      <c r="K11" s="339"/>
      <c r="L11" s="340"/>
      <c r="M11" s="341"/>
    </row>
    <row r="12" spans="1:13">
      <c r="A12" s="342">
        <v>1.01</v>
      </c>
      <c r="B12" s="62" t="s">
        <v>248</v>
      </c>
      <c r="C12" s="218" t="s">
        <v>30</v>
      </c>
      <c r="D12" s="335">
        <v>981</v>
      </c>
      <c r="E12" s="335">
        <v>60</v>
      </c>
      <c r="F12" s="344">
        <f>D12*E12</f>
        <v>58860</v>
      </c>
      <c r="G12" s="345"/>
      <c r="H12" s="336">
        <v>981</v>
      </c>
      <c r="I12" s="346">
        <f>G12+H12</f>
        <v>981</v>
      </c>
      <c r="J12" s="347">
        <f>I12/D12*100</f>
        <v>100</v>
      </c>
      <c r="K12" s="348"/>
      <c r="L12" s="349">
        <f>H12*E12</f>
        <v>58860</v>
      </c>
      <c r="M12" s="350">
        <f>K12+L12</f>
        <v>58860</v>
      </c>
    </row>
    <row r="13" spans="1:13">
      <c r="A13" s="342">
        <v>1.02</v>
      </c>
      <c r="B13" s="62" t="s">
        <v>287</v>
      </c>
      <c r="C13" s="218" t="s">
        <v>88</v>
      </c>
      <c r="D13" s="335">
        <v>1</v>
      </c>
      <c r="E13" s="335">
        <v>6001</v>
      </c>
      <c r="F13" s="344">
        <f t="shared" ref="F13:F34" si="0">D13*E13</f>
        <v>6001</v>
      </c>
      <c r="G13" s="336"/>
      <c r="H13" s="336"/>
      <c r="I13" s="352"/>
      <c r="J13" s="353"/>
      <c r="K13" s="348"/>
      <c r="L13" s="354"/>
      <c r="M13" s="355"/>
    </row>
    <row r="14" spans="1:13">
      <c r="A14" s="342"/>
      <c r="B14" s="357" t="s">
        <v>44</v>
      </c>
      <c r="C14" s="204"/>
      <c r="D14" s="359"/>
      <c r="E14" s="359"/>
      <c r="F14" s="351">
        <f>SUM(F12:F13)</f>
        <v>64861</v>
      </c>
      <c r="G14" s="336"/>
      <c r="H14" s="336"/>
      <c r="I14" s="352"/>
      <c r="J14" s="353"/>
      <c r="K14" s="348"/>
      <c r="L14" s="354">
        <f>SUM(L12:L13)</f>
        <v>58860</v>
      </c>
      <c r="M14" s="355">
        <f>K14+L14</f>
        <v>58860</v>
      </c>
    </row>
    <row r="15" spans="1:13">
      <c r="A15" s="429">
        <v>2</v>
      </c>
      <c r="B15" s="361" t="s">
        <v>250</v>
      </c>
      <c r="C15" s="362"/>
      <c r="D15" s="335"/>
      <c r="E15" s="335"/>
      <c r="F15" s="344"/>
      <c r="G15" s="336"/>
      <c r="H15" s="336"/>
      <c r="I15" s="352"/>
      <c r="J15" s="353"/>
      <c r="K15" s="348"/>
      <c r="L15" s="349"/>
      <c r="M15" s="365"/>
    </row>
    <row r="16" spans="1:13">
      <c r="A16" s="430">
        <v>2.0099999999999998</v>
      </c>
      <c r="B16" s="367" t="s">
        <v>326</v>
      </c>
      <c r="C16" s="362" t="s">
        <v>38</v>
      </c>
      <c r="D16" s="335">
        <v>789.70499999999981</v>
      </c>
      <c r="E16" s="335">
        <v>150</v>
      </c>
      <c r="F16" s="344">
        <f t="shared" si="0"/>
        <v>118455.74999999997</v>
      </c>
      <c r="G16" s="369"/>
      <c r="H16" s="370">
        <f>H22*0.6*1</f>
        <v>494.42399999999998</v>
      </c>
      <c r="I16" s="346">
        <f>G16+H16</f>
        <v>494.42399999999998</v>
      </c>
      <c r="J16" s="347">
        <f>I16/D16*100</f>
        <v>62.608695652173928</v>
      </c>
      <c r="K16" s="348"/>
      <c r="L16" s="371">
        <f>H16*E16</f>
        <v>74163.599999999991</v>
      </c>
      <c r="M16" s="350">
        <f>K16+L16</f>
        <v>74163.599999999991</v>
      </c>
    </row>
    <row r="17" spans="1:13">
      <c r="A17" s="430">
        <v>2.02</v>
      </c>
      <c r="B17" s="62" t="s">
        <v>288</v>
      </c>
      <c r="C17" s="218" t="s">
        <v>38</v>
      </c>
      <c r="D17" s="335">
        <v>72.103499999999997</v>
      </c>
      <c r="E17" s="335">
        <v>1800</v>
      </c>
      <c r="F17" s="344">
        <f t="shared" si="0"/>
        <v>129786.29999999999</v>
      </c>
      <c r="G17" s="369"/>
      <c r="H17" s="370">
        <f>H22*0.6*0.1</f>
        <v>49.442399999999999</v>
      </c>
      <c r="I17" s="346">
        <f>G17+H17</f>
        <v>49.442399999999999</v>
      </c>
      <c r="J17" s="347">
        <f>I17/D17*100</f>
        <v>68.571428571428569</v>
      </c>
      <c r="K17" s="348"/>
      <c r="L17" s="371">
        <f>H17*E17</f>
        <v>88996.319999999992</v>
      </c>
      <c r="M17" s="350">
        <f>K17+L17</f>
        <v>88996.319999999992</v>
      </c>
    </row>
    <row r="18" spans="1:13">
      <c r="A18" s="342">
        <v>2.0299999999999998</v>
      </c>
      <c r="B18" s="62" t="s">
        <v>253</v>
      </c>
      <c r="C18" s="218" t="s">
        <v>38</v>
      </c>
      <c r="D18" s="335">
        <v>140.37864750000011</v>
      </c>
      <c r="E18" s="335">
        <v>280</v>
      </c>
      <c r="F18" s="344">
        <f t="shared" si="0"/>
        <v>39306.021300000029</v>
      </c>
      <c r="G18" s="336"/>
      <c r="H18" s="370">
        <v>64.27</v>
      </c>
      <c r="I18" s="346">
        <f t="shared" ref="I18:I19" si="1">G18+H18</f>
        <v>64.27</v>
      </c>
      <c r="J18" s="347">
        <f t="shared" ref="J18:J19" si="2">I18/D18*100</f>
        <v>45.783316155685249</v>
      </c>
      <c r="K18" s="348"/>
      <c r="L18" s="371">
        <f t="shared" ref="L18:L19" si="3">H18*E18</f>
        <v>17995.599999999999</v>
      </c>
      <c r="M18" s="350">
        <f t="shared" ref="M18:M20" si="4">K18+L18</f>
        <v>17995.599999999999</v>
      </c>
    </row>
    <row r="19" spans="1:13">
      <c r="A19" s="342">
        <v>2.04</v>
      </c>
      <c r="B19" s="372" t="s">
        <v>254</v>
      </c>
      <c r="C19" s="373" t="s">
        <v>38</v>
      </c>
      <c r="D19" s="335">
        <v>681.72142499999973</v>
      </c>
      <c r="E19" s="335">
        <v>100</v>
      </c>
      <c r="F19" s="344">
        <f t="shared" si="0"/>
        <v>68172.142499999973</v>
      </c>
      <c r="G19" s="336"/>
      <c r="H19" s="370">
        <f>H22*0.6*0.8</f>
        <v>395.53919999999999</v>
      </c>
      <c r="I19" s="346">
        <f t="shared" si="1"/>
        <v>395.53919999999999</v>
      </c>
      <c r="J19" s="347">
        <f t="shared" si="2"/>
        <v>58.020649710400427</v>
      </c>
      <c r="K19" s="348"/>
      <c r="L19" s="371">
        <f t="shared" si="3"/>
        <v>39553.919999999998</v>
      </c>
      <c r="M19" s="350">
        <f t="shared" si="4"/>
        <v>39553.919999999998</v>
      </c>
    </row>
    <row r="20" spans="1:13">
      <c r="A20" s="431"/>
      <c r="B20" s="357" t="s">
        <v>44</v>
      </c>
      <c r="C20" s="218"/>
      <c r="D20" s="335"/>
      <c r="E20" s="335"/>
      <c r="F20" s="351">
        <f>SUM(F16:F19)</f>
        <v>355720.21379999997</v>
      </c>
      <c r="G20" s="336"/>
      <c r="H20" s="336"/>
      <c r="I20" s="352"/>
      <c r="J20" s="353"/>
      <c r="K20" s="348"/>
      <c r="L20" s="375">
        <f>SUM(L16:L19)</f>
        <v>220709.44</v>
      </c>
      <c r="M20" s="376">
        <f t="shared" si="4"/>
        <v>220709.44</v>
      </c>
    </row>
    <row r="21" spans="1:13">
      <c r="A21" s="379">
        <v>3</v>
      </c>
      <c r="B21" s="203" t="s">
        <v>257</v>
      </c>
      <c r="C21" s="218"/>
      <c r="D21" s="335"/>
      <c r="E21" s="335"/>
      <c r="F21" s="344"/>
      <c r="G21" s="336"/>
      <c r="H21" s="336"/>
      <c r="I21" s="352"/>
      <c r="J21" s="353"/>
      <c r="K21" s="348"/>
      <c r="L21" s="371"/>
      <c r="M21" s="378"/>
    </row>
    <row r="22" spans="1:13" ht="24.75">
      <c r="A22" s="366">
        <v>3.01</v>
      </c>
      <c r="B22" s="432" t="s">
        <v>327</v>
      </c>
      <c r="C22" s="218" t="s">
        <v>30</v>
      </c>
      <c r="D22" s="335">
        <v>1030.05</v>
      </c>
      <c r="E22" s="335">
        <v>1625.6773000000001</v>
      </c>
      <c r="F22" s="344">
        <f t="shared" si="0"/>
        <v>1674528.9028650001</v>
      </c>
      <c r="G22" s="336"/>
      <c r="H22" s="336">
        <v>824.04</v>
      </c>
      <c r="I22" s="346">
        <f t="shared" ref="I22" si="5">G22+H22</f>
        <v>824.04</v>
      </c>
      <c r="J22" s="347">
        <f t="shared" ref="J22" si="6">I22/D22*100</f>
        <v>80</v>
      </c>
      <c r="K22" s="348"/>
      <c r="L22" s="371">
        <f>H22*E22</f>
        <v>1339623.1222920001</v>
      </c>
      <c r="M22" s="350">
        <f t="shared" ref="M22" si="7">K22+L22</f>
        <v>1339623.1222920001</v>
      </c>
    </row>
    <row r="23" spans="1:13">
      <c r="A23" s="360">
        <v>3.02</v>
      </c>
      <c r="B23" s="432" t="s">
        <v>328</v>
      </c>
      <c r="C23" s="218" t="s">
        <v>30</v>
      </c>
      <c r="D23" s="335">
        <v>2</v>
      </c>
      <c r="E23" s="335">
        <v>19495</v>
      </c>
      <c r="F23" s="344">
        <f t="shared" si="0"/>
        <v>38990</v>
      </c>
      <c r="G23" s="336"/>
      <c r="H23" s="336"/>
      <c r="I23" s="346"/>
      <c r="J23" s="347"/>
      <c r="K23" s="348"/>
      <c r="L23" s="371"/>
      <c r="M23" s="350"/>
    </row>
    <row r="24" spans="1:13">
      <c r="A24" s="360"/>
      <c r="B24" s="357" t="s">
        <v>44</v>
      </c>
      <c r="C24" s="218"/>
      <c r="D24" s="335"/>
      <c r="E24" s="335"/>
      <c r="F24" s="351">
        <f>SUM(F22:F23)</f>
        <v>1713518.9028650001</v>
      </c>
      <c r="G24" s="336"/>
      <c r="H24" s="336"/>
      <c r="I24" s="352"/>
      <c r="J24" s="380"/>
      <c r="K24" s="348"/>
      <c r="L24" s="354">
        <f>SUM(L22:L23)</f>
        <v>1339623.1222920001</v>
      </c>
      <c r="M24" s="355">
        <f>K24+L24</f>
        <v>1339623.1222920001</v>
      </c>
    </row>
    <row r="25" spans="1:13">
      <c r="A25" s="356">
        <v>4</v>
      </c>
      <c r="B25" s="357" t="s">
        <v>259</v>
      </c>
      <c r="C25" s="218"/>
      <c r="D25" s="335"/>
      <c r="E25" s="335"/>
      <c r="F25" s="344"/>
      <c r="G25" s="336"/>
      <c r="H25" s="336"/>
      <c r="I25" s="352"/>
      <c r="J25" s="380"/>
      <c r="K25" s="339"/>
      <c r="L25" s="349"/>
      <c r="M25" s="341"/>
    </row>
    <row r="26" spans="1:13" ht="60">
      <c r="A26" s="433">
        <v>4.01</v>
      </c>
      <c r="B26" s="381" t="s">
        <v>329</v>
      </c>
      <c r="C26" s="218" t="s">
        <v>50</v>
      </c>
      <c r="D26" s="335">
        <v>3</v>
      </c>
      <c r="E26" s="335">
        <v>24977.99</v>
      </c>
      <c r="F26" s="344">
        <f t="shared" si="0"/>
        <v>74933.97</v>
      </c>
      <c r="G26" s="336"/>
      <c r="H26" s="336"/>
      <c r="I26" s="352"/>
      <c r="J26" s="353"/>
      <c r="K26" s="348"/>
      <c r="L26" s="349"/>
      <c r="M26" s="341"/>
    </row>
    <row r="27" spans="1:13" ht="24">
      <c r="A27" s="342">
        <v>4.0199999999999996</v>
      </c>
      <c r="B27" s="382" t="s">
        <v>330</v>
      </c>
      <c r="C27" s="218" t="s">
        <v>88</v>
      </c>
      <c r="D27" s="335">
        <v>1</v>
      </c>
      <c r="E27" s="335">
        <v>10000</v>
      </c>
      <c r="F27" s="344">
        <f t="shared" si="0"/>
        <v>10000</v>
      </c>
      <c r="G27" s="336"/>
      <c r="H27" s="336"/>
      <c r="I27" s="352"/>
      <c r="J27" s="380"/>
      <c r="K27" s="348"/>
      <c r="L27" s="349"/>
      <c r="M27" s="341"/>
    </row>
    <row r="28" spans="1:13">
      <c r="A28" s="342">
        <v>4.03</v>
      </c>
      <c r="B28" s="382" t="s">
        <v>331</v>
      </c>
      <c r="C28" s="218" t="s">
        <v>88</v>
      </c>
      <c r="D28" s="335">
        <v>1</v>
      </c>
      <c r="E28" s="335">
        <v>4500</v>
      </c>
      <c r="F28" s="344">
        <f>D28*E28</f>
        <v>4500</v>
      </c>
      <c r="G28" s="336"/>
      <c r="H28" s="336"/>
      <c r="I28" s="352"/>
      <c r="J28" s="380"/>
      <c r="K28" s="339"/>
      <c r="L28" s="349"/>
      <c r="M28" s="341"/>
    </row>
    <row r="29" spans="1:13">
      <c r="A29" s="433"/>
      <c r="B29" s="357" t="s">
        <v>44</v>
      </c>
      <c r="C29" s="218"/>
      <c r="D29" s="335"/>
      <c r="E29" s="335"/>
      <c r="F29" s="351">
        <f>SUM(F26:F28)</f>
        <v>89433.97</v>
      </c>
      <c r="G29" s="336"/>
      <c r="H29" s="336"/>
      <c r="I29" s="352"/>
      <c r="J29" s="353"/>
      <c r="K29" s="348"/>
      <c r="L29" s="349"/>
      <c r="M29" s="341"/>
    </row>
    <row r="30" spans="1:13">
      <c r="A30" s="356">
        <v>5</v>
      </c>
      <c r="B30" s="434" t="s">
        <v>332</v>
      </c>
      <c r="C30" s="218"/>
      <c r="D30" s="335"/>
      <c r="E30" s="335"/>
      <c r="F30" s="344"/>
      <c r="G30" s="336"/>
      <c r="H30" s="336"/>
      <c r="I30" s="352"/>
      <c r="J30" s="353"/>
      <c r="K30" s="348"/>
      <c r="L30" s="349"/>
      <c r="M30" s="341"/>
    </row>
    <row r="31" spans="1:13" ht="24">
      <c r="A31" s="342">
        <v>5.01</v>
      </c>
      <c r="B31" s="381" t="s">
        <v>333</v>
      </c>
      <c r="C31" s="218"/>
      <c r="D31" s="335">
        <v>1978</v>
      </c>
      <c r="E31" s="335">
        <v>75</v>
      </c>
      <c r="F31" s="344">
        <f t="shared" si="0"/>
        <v>148350</v>
      </c>
      <c r="G31" s="336"/>
      <c r="H31" s="370">
        <v>1584</v>
      </c>
      <c r="I31" s="346">
        <f t="shared" ref="I31" si="8">G31+H31</f>
        <v>1584</v>
      </c>
      <c r="J31" s="347">
        <f t="shared" ref="J31" si="9">I31/D31*100</f>
        <v>80.080889787664304</v>
      </c>
      <c r="K31" s="348"/>
      <c r="L31" s="371">
        <f>H31*E31</f>
        <v>118800</v>
      </c>
      <c r="M31" s="350">
        <f t="shared" ref="M31" si="10">K31+L31</f>
        <v>118800</v>
      </c>
    </row>
    <row r="32" spans="1:13">
      <c r="A32" s="342">
        <v>5.0199999999999996</v>
      </c>
      <c r="B32" s="374" t="s">
        <v>334</v>
      </c>
      <c r="C32" s="218"/>
      <c r="D32" s="335">
        <v>837.85</v>
      </c>
      <c r="E32" s="335">
        <v>45</v>
      </c>
      <c r="F32" s="344">
        <f t="shared" si="0"/>
        <v>37703.25</v>
      </c>
      <c r="G32" s="336"/>
      <c r="H32" s="336"/>
      <c r="I32" s="346"/>
      <c r="J32" s="347"/>
      <c r="K32" s="348"/>
      <c r="L32" s="349"/>
      <c r="M32" s="341"/>
    </row>
    <row r="33" spans="1:14" ht="24">
      <c r="A33" s="342">
        <v>5.03</v>
      </c>
      <c r="B33" s="382" t="s">
        <v>335</v>
      </c>
      <c r="C33" s="218"/>
      <c r="D33" s="335">
        <v>69.070000000000007</v>
      </c>
      <c r="E33" s="335">
        <v>11500</v>
      </c>
      <c r="F33" s="344">
        <f t="shared" si="0"/>
        <v>794305.00000000012</v>
      </c>
      <c r="G33" s="336"/>
      <c r="H33" s="370">
        <f>D33*0.4</f>
        <v>27.628000000000004</v>
      </c>
      <c r="I33" s="346">
        <f t="shared" ref="I33:I34" si="11">G33+H33</f>
        <v>27.628000000000004</v>
      </c>
      <c r="J33" s="347">
        <f t="shared" ref="J33:J34" si="12">I33/D33*100</f>
        <v>40</v>
      </c>
      <c r="K33" s="348"/>
      <c r="L33" s="371">
        <f>H33*E33</f>
        <v>317722.00000000006</v>
      </c>
      <c r="M33" s="350">
        <f t="shared" ref="M33:M36" si="13">K33+L33</f>
        <v>317722.00000000006</v>
      </c>
    </row>
    <row r="34" spans="1:14" ht="24">
      <c r="A34" s="342">
        <v>5.04</v>
      </c>
      <c r="B34" s="382" t="s">
        <v>336</v>
      </c>
      <c r="C34" s="218"/>
      <c r="D34" s="335">
        <v>69.070000000000007</v>
      </c>
      <c r="E34" s="335">
        <v>1200</v>
      </c>
      <c r="F34" s="344">
        <f t="shared" si="0"/>
        <v>82884.000000000015</v>
      </c>
      <c r="G34" s="336"/>
      <c r="H34" s="370">
        <f>D34*0.4</f>
        <v>27.628000000000004</v>
      </c>
      <c r="I34" s="346">
        <f t="shared" si="11"/>
        <v>27.628000000000004</v>
      </c>
      <c r="J34" s="347">
        <f t="shared" si="12"/>
        <v>40</v>
      </c>
      <c r="K34" s="348"/>
      <c r="L34" s="371">
        <f>H34*E34</f>
        <v>33153.600000000006</v>
      </c>
      <c r="M34" s="350">
        <f t="shared" si="13"/>
        <v>33153.600000000006</v>
      </c>
    </row>
    <row r="35" spans="1:14">
      <c r="A35" s="342"/>
      <c r="B35" s="357" t="s">
        <v>44</v>
      </c>
      <c r="C35" s="218"/>
      <c r="D35" s="335"/>
      <c r="E35" s="335"/>
      <c r="F35" s="351">
        <f>SUM(F31:F34)</f>
        <v>1063242.2500000002</v>
      </c>
      <c r="G35" s="336"/>
      <c r="H35" s="336"/>
      <c r="I35" s="352"/>
      <c r="J35" s="353"/>
      <c r="K35" s="348"/>
      <c r="L35" s="354">
        <f>SUM(L31:L34)</f>
        <v>469675.60000000009</v>
      </c>
      <c r="M35" s="355">
        <f t="shared" si="13"/>
        <v>469675.60000000009</v>
      </c>
    </row>
    <row r="36" spans="1:14">
      <c r="A36" s="379"/>
      <c r="B36" s="357" t="s">
        <v>315</v>
      </c>
      <c r="C36" s="435"/>
      <c r="D36" s="335"/>
      <c r="E36" s="335"/>
      <c r="F36" s="359">
        <f>F35+F24+F20+F14+F29</f>
        <v>3286776.3366650003</v>
      </c>
      <c r="G36" s="384"/>
      <c r="H36" s="384"/>
      <c r="I36" s="385"/>
      <c r="J36" s="386"/>
      <c r="K36" s="339"/>
      <c r="L36" s="387">
        <f>L14+L20+L24+L35</f>
        <v>2088868.1622920001</v>
      </c>
      <c r="M36" s="355">
        <f t="shared" si="13"/>
        <v>2088868.1622920001</v>
      </c>
    </row>
    <row r="37" spans="1:14">
      <c r="A37" s="436"/>
      <c r="B37" s="437"/>
      <c r="C37" s="438"/>
      <c r="D37" s="405"/>
      <c r="E37" s="405"/>
      <c r="F37" s="406"/>
      <c r="G37" s="407"/>
      <c r="H37" s="407"/>
      <c r="I37" s="408"/>
      <c r="J37" s="409"/>
      <c r="K37" s="410"/>
      <c r="L37" s="411"/>
      <c r="M37" s="411"/>
    </row>
    <row r="38" spans="1:14">
      <c r="A38" s="436"/>
      <c r="B38" s="437"/>
      <c r="C38" s="438"/>
      <c r="D38" s="405"/>
      <c r="E38" s="405"/>
      <c r="F38" s="406"/>
      <c r="G38" s="407"/>
      <c r="H38" s="407"/>
      <c r="I38" s="408"/>
      <c r="J38" s="409"/>
      <c r="K38" s="410"/>
      <c r="L38" s="411"/>
      <c r="M38" s="411"/>
    </row>
    <row r="39" spans="1:14">
      <c r="A39" s="436"/>
      <c r="B39" s="437"/>
      <c r="C39" s="438"/>
      <c r="D39" s="405"/>
      <c r="E39" s="405"/>
      <c r="F39" s="406"/>
      <c r="G39" s="407"/>
      <c r="H39" s="407"/>
      <c r="I39" s="408"/>
      <c r="J39" s="409"/>
      <c r="K39" s="410"/>
      <c r="L39" s="411"/>
      <c r="M39" s="411"/>
    </row>
    <row r="40" spans="1:14">
      <c r="A40" s="436"/>
      <c r="B40" s="437"/>
      <c r="C40" s="438"/>
      <c r="D40" s="405"/>
      <c r="E40" s="405"/>
      <c r="F40" s="406"/>
      <c r="G40" s="407"/>
      <c r="H40" s="407"/>
      <c r="I40" s="408"/>
      <c r="J40" s="409"/>
      <c r="K40" s="410"/>
      <c r="L40" s="411"/>
      <c r="M40" s="411"/>
    </row>
    <row r="41" spans="1:14">
      <c r="A41" s="436"/>
      <c r="B41" s="437"/>
      <c r="C41" s="438"/>
      <c r="D41" s="405"/>
      <c r="E41" s="405"/>
      <c r="F41" s="406"/>
      <c r="G41" s="407"/>
      <c r="H41" s="407"/>
      <c r="I41" s="408"/>
      <c r="J41" s="409"/>
      <c r="K41" s="410"/>
      <c r="L41" s="411"/>
      <c r="M41" s="411"/>
    </row>
    <row r="42" spans="1:14">
      <c r="A42" s="1004" t="s">
        <v>0</v>
      </c>
      <c r="B42" s="1004"/>
      <c r="C42" s="1004"/>
      <c r="D42" s="1004"/>
      <c r="E42" s="1004"/>
      <c r="F42" s="1004"/>
      <c r="G42" s="1004"/>
      <c r="H42" s="1004"/>
      <c r="I42" s="1004"/>
      <c r="J42" s="1004"/>
      <c r="K42" s="1004"/>
      <c r="L42" s="1004"/>
      <c r="M42" s="411"/>
    </row>
    <row r="43" spans="1:14">
      <c r="A43" s="1004"/>
      <c r="B43" s="1004"/>
      <c r="C43" s="1004"/>
      <c r="D43" s="1004"/>
      <c r="E43" s="1004"/>
      <c r="F43" s="1004"/>
      <c r="G43" s="1004"/>
      <c r="H43" s="1004"/>
      <c r="I43" s="1004"/>
      <c r="J43" s="1004"/>
      <c r="K43" s="1004"/>
      <c r="L43" s="1004"/>
      <c r="M43" s="411"/>
    </row>
    <row r="44" spans="1:14">
      <c r="B44" s="1005" t="s">
        <v>1</v>
      </c>
      <c r="C44" s="1005"/>
      <c r="D44" s="1005"/>
      <c r="E44" s="1005"/>
      <c r="F44" s="1005"/>
      <c r="G44" s="1005"/>
      <c r="H44" s="1005"/>
      <c r="I44" s="1005"/>
      <c r="J44" s="1005"/>
      <c r="K44" s="1005"/>
      <c r="L44" s="1005"/>
      <c r="M44" s="411"/>
    </row>
    <row r="45" spans="1:14">
      <c r="B45" s="2"/>
      <c r="C45" s="2"/>
      <c r="D45" s="2"/>
      <c r="E45" s="2"/>
      <c r="F45" s="2"/>
      <c r="G45" s="407"/>
      <c r="H45" s="407"/>
      <c r="I45" s="408"/>
      <c r="J45" s="412"/>
      <c r="K45" s="410"/>
      <c r="L45" s="411"/>
      <c r="M45" s="411"/>
    </row>
    <row r="46" spans="1:14" ht="39" customHeight="1">
      <c r="A46" s="3"/>
      <c r="B46" s="4" t="s">
        <v>2</v>
      </c>
      <c r="C46" s="1006" t="s">
        <v>321</v>
      </c>
      <c r="D46" s="1006"/>
      <c r="E46" s="1006"/>
      <c r="F46" s="1006"/>
      <c r="G46" s="413"/>
      <c r="H46" s="413"/>
      <c r="I46" s="414"/>
      <c r="J46" s="415"/>
      <c r="K46" s="439"/>
      <c r="L46" s="440"/>
      <c r="M46" s="440"/>
      <c r="N46" s="416"/>
    </row>
    <row r="47" spans="1:14">
      <c r="A47" s="3"/>
      <c r="B47" s="4" t="s">
        <v>5</v>
      </c>
      <c r="C47" s="7">
        <v>1</v>
      </c>
      <c r="D47" s="3"/>
      <c r="E47" s="8"/>
      <c r="F47" s="8"/>
      <c r="G47" s="407"/>
      <c r="H47" s="407"/>
      <c r="L47" s="411"/>
    </row>
    <row r="48" spans="1:14">
      <c r="A48" s="3"/>
      <c r="B48" s="4" t="s">
        <v>7</v>
      </c>
      <c r="C48" s="8" t="s">
        <v>322</v>
      </c>
      <c r="D48" s="8"/>
      <c r="E48" s="8"/>
      <c r="F48" s="8"/>
      <c r="G48" s="407"/>
      <c r="H48" s="407"/>
      <c r="K48" s="408"/>
      <c r="L48" s="4" t="s">
        <v>4</v>
      </c>
      <c r="M48" s="6">
        <f>M5</f>
        <v>4105183.65</v>
      </c>
    </row>
    <row r="49" spans="1:16">
      <c r="A49" s="3"/>
      <c r="B49" s="4" t="s">
        <v>11</v>
      </c>
      <c r="C49" s="8" t="s">
        <v>324</v>
      </c>
      <c r="D49" s="8"/>
      <c r="E49" s="8"/>
      <c r="F49" s="8"/>
      <c r="G49" s="407"/>
      <c r="H49" s="407"/>
      <c r="K49" s="408"/>
      <c r="L49" s="4" t="s">
        <v>6</v>
      </c>
      <c r="M49" s="6">
        <f>M6</f>
        <v>821036.73</v>
      </c>
    </row>
    <row r="50" spans="1:16">
      <c r="G50" s="407"/>
      <c r="H50" s="407"/>
      <c r="I50" s="408"/>
      <c r="J50" s="409"/>
      <c r="K50" s="408"/>
      <c r="L50" s="4" t="s">
        <v>9</v>
      </c>
      <c r="M50" s="13" t="s">
        <v>323</v>
      </c>
    </row>
    <row r="51" spans="1:16">
      <c r="C51" s="406"/>
      <c r="D51" s="418" t="s">
        <v>94</v>
      </c>
      <c r="E51" s="418"/>
      <c r="G51" s="407"/>
      <c r="H51" s="1033" t="s">
        <v>22</v>
      </c>
      <c r="I51" s="1033"/>
      <c r="J51" s="1004" t="s">
        <v>23</v>
      </c>
      <c r="K51" s="1004"/>
      <c r="L51" s="1004" t="s">
        <v>24</v>
      </c>
      <c r="M51" s="1004"/>
      <c r="N51" s="2"/>
      <c r="O51" s="2"/>
      <c r="P51" s="154"/>
    </row>
    <row r="52" spans="1:16">
      <c r="D52" s="419">
        <f>F36</f>
        <v>3286776.3366650003</v>
      </c>
      <c r="E52" s="419"/>
      <c r="G52" s="407"/>
      <c r="H52" s="155"/>
      <c r="I52" s="155"/>
      <c r="J52" s="1056">
        <f>L36</f>
        <v>2088868.1622920001</v>
      </c>
      <c r="K52" s="1056"/>
      <c r="L52" s="1057">
        <f>H52+J52</f>
        <v>2088868.1622920001</v>
      </c>
      <c r="M52" s="1057"/>
      <c r="N52" s="3"/>
    </row>
    <row r="53" spans="1:16">
      <c r="G53" s="407"/>
      <c r="J53" s="420"/>
      <c r="K53" s="420"/>
      <c r="N53" s="3"/>
    </row>
    <row r="54" spans="1:16">
      <c r="B54" s="7" t="s">
        <v>96</v>
      </c>
      <c r="C54" s="166"/>
      <c r="D54" s="167"/>
      <c r="E54" s="167"/>
      <c r="G54" s="407"/>
      <c r="J54" s="420"/>
      <c r="K54" s="420"/>
      <c r="N54" s="3"/>
    </row>
    <row r="55" spans="1:16">
      <c r="B55" s="121" t="s">
        <v>98</v>
      </c>
      <c r="C55" s="170">
        <v>2.5000000000000001E-2</v>
      </c>
      <c r="D55" s="322">
        <f>C55*F36</f>
        <v>82169.40841662501</v>
      </c>
      <c r="E55" s="322"/>
      <c r="G55" s="407"/>
      <c r="H55" s="155"/>
      <c r="I55" s="155"/>
      <c r="J55" s="1056">
        <f>J52*C55</f>
        <v>52221.704057300005</v>
      </c>
      <c r="K55" s="1056"/>
      <c r="L55" s="1057">
        <f>H55+J55</f>
        <v>52221.704057300005</v>
      </c>
      <c r="M55" s="1057"/>
      <c r="N55" s="3"/>
      <c r="O55" s="3"/>
      <c r="P55" s="3"/>
    </row>
    <row r="56" spans="1:16">
      <c r="B56" s="121" t="s">
        <v>97</v>
      </c>
      <c r="C56" s="168">
        <v>0.1</v>
      </c>
      <c r="D56" s="322">
        <f>C56*F36</f>
        <v>328677.63366650004</v>
      </c>
      <c r="E56" s="322"/>
      <c r="G56" s="407"/>
      <c r="H56" s="155"/>
      <c r="I56" s="155"/>
      <c r="J56" s="1056">
        <f>J52*C56</f>
        <v>208886.81622920002</v>
      </c>
      <c r="K56" s="1056"/>
      <c r="L56" s="1057">
        <f t="shared" ref="L56:L61" si="14">H56+J56</f>
        <v>208886.81622920002</v>
      </c>
      <c r="M56" s="1057"/>
    </row>
    <row r="57" spans="1:16">
      <c r="B57" s="121" t="s">
        <v>103</v>
      </c>
      <c r="C57" s="168">
        <v>0.18</v>
      </c>
      <c r="D57" s="322">
        <f>C57*D56</f>
        <v>59161.974059970002</v>
      </c>
      <c r="E57" s="322"/>
      <c r="G57" s="407"/>
      <c r="H57" s="155"/>
      <c r="I57" s="155"/>
      <c r="J57" s="1056">
        <f>J56*C57</f>
        <v>37599.626921256</v>
      </c>
      <c r="K57" s="1056"/>
      <c r="L57" s="1057">
        <f t="shared" si="14"/>
        <v>37599.626921256</v>
      </c>
      <c r="M57" s="1057"/>
    </row>
    <row r="58" spans="1:16">
      <c r="B58" s="121" t="s">
        <v>316</v>
      </c>
      <c r="C58" s="172">
        <v>0.02</v>
      </c>
      <c r="D58" s="322">
        <f>C58*F36</f>
        <v>65735.526733300008</v>
      </c>
      <c r="E58" s="322"/>
      <c r="G58" s="407"/>
      <c r="H58" s="155"/>
      <c r="I58" s="155"/>
      <c r="J58" s="1056">
        <f>J52*C58</f>
        <v>41777.363245840002</v>
      </c>
      <c r="K58" s="1056"/>
      <c r="L58" s="1057">
        <f t="shared" si="14"/>
        <v>41777.363245840002</v>
      </c>
      <c r="M58" s="1057"/>
    </row>
    <row r="59" spans="1:16">
      <c r="B59" s="121" t="s">
        <v>99</v>
      </c>
      <c r="C59" s="166">
        <v>2.5000000000000001E-2</v>
      </c>
      <c r="D59" s="322">
        <f>C59*F36</f>
        <v>82169.40841662501</v>
      </c>
      <c r="E59" s="322"/>
      <c r="G59" s="407"/>
      <c r="H59" s="155"/>
      <c r="I59" s="155"/>
      <c r="J59" s="1056">
        <f>J52*C59</f>
        <v>52221.704057300005</v>
      </c>
      <c r="K59" s="1056"/>
      <c r="L59" s="1057">
        <f t="shared" si="14"/>
        <v>52221.704057300005</v>
      </c>
      <c r="M59" s="1057"/>
    </row>
    <row r="60" spans="1:16">
      <c r="B60" s="121" t="s">
        <v>337</v>
      </c>
      <c r="C60" s="168">
        <v>0.01</v>
      </c>
      <c r="D60" s="322">
        <f>C60*F36</f>
        <v>32867.763366650004</v>
      </c>
      <c r="E60" s="322"/>
      <c r="G60" s="407"/>
      <c r="H60" s="155"/>
      <c r="I60" s="155"/>
      <c r="J60" s="1056">
        <f>J52*C60</f>
        <v>20888.681622920001</v>
      </c>
      <c r="K60" s="1056"/>
      <c r="L60" s="1057">
        <f t="shared" si="14"/>
        <v>20888.681622920001</v>
      </c>
      <c r="M60" s="1057"/>
    </row>
    <row r="61" spans="1:16">
      <c r="B61" s="121" t="s">
        <v>102</v>
      </c>
      <c r="C61" s="166">
        <v>1E-3</v>
      </c>
      <c r="D61" s="322">
        <f>C61*F36</f>
        <v>3286.7763366650001</v>
      </c>
      <c r="E61" s="322"/>
      <c r="G61" s="407"/>
      <c r="H61" s="155"/>
      <c r="I61" s="155"/>
      <c r="J61" s="1056">
        <f>J52*C61</f>
        <v>2088.8681622920003</v>
      </c>
      <c r="K61" s="1056"/>
      <c r="L61" s="1057">
        <f t="shared" si="14"/>
        <v>2088.8681622920003</v>
      </c>
      <c r="M61" s="1057"/>
    </row>
    <row r="62" spans="1:16">
      <c r="B62" s="8"/>
      <c r="C62" s="168"/>
      <c r="D62" s="322"/>
      <c r="E62" s="322"/>
      <c r="G62" s="407"/>
      <c r="J62" s="421"/>
      <c r="K62" s="421"/>
      <c r="L62" s="1059"/>
      <c r="M62" s="1059"/>
    </row>
    <row r="63" spans="1:16">
      <c r="B63" s="173" t="s">
        <v>104</v>
      </c>
      <c r="C63" s="1"/>
      <c r="D63" s="322">
        <f>SUM(D55:E62)</f>
        <v>654068.49099633505</v>
      </c>
      <c r="E63" s="322"/>
      <c r="G63" s="407"/>
      <c r="J63" s="1056">
        <f>SUM(J55:K61)</f>
        <v>415684.76429610798</v>
      </c>
      <c r="K63" s="1056"/>
      <c r="L63" s="1063">
        <f>H63+J63</f>
        <v>415684.76429610798</v>
      </c>
      <c r="M63" s="1063"/>
    </row>
    <row r="64" spans="1:16" ht="24">
      <c r="B64" s="422" t="s">
        <v>338</v>
      </c>
      <c r="C64" s="423">
        <v>0.05</v>
      </c>
      <c r="D64" s="322">
        <f>D52*C64</f>
        <v>164338.81683325002</v>
      </c>
      <c r="E64" s="322"/>
      <c r="G64" s="407"/>
      <c r="J64" s="424"/>
      <c r="K64" s="424"/>
      <c r="L64" s="1060"/>
      <c r="M64" s="1060"/>
    </row>
    <row r="65" spans="1:17">
      <c r="B65" s="8" t="s">
        <v>317</v>
      </c>
      <c r="C65" s="426"/>
      <c r="D65" s="441">
        <f>D52+D63+D64</f>
        <v>4105183.6444945857</v>
      </c>
      <c r="E65" s="322"/>
      <c r="G65" s="407"/>
      <c r="J65" s="425"/>
      <c r="K65" s="425"/>
      <c r="L65" s="424"/>
      <c r="M65" s="424"/>
    </row>
    <row r="66" spans="1:17">
      <c r="B66" s="8"/>
      <c r="C66" s="168"/>
      <c r="D66" s="167"/>
      <c r="E66" s="167"/>
      <c r="G66" s="407"/>
      <c r="J66" s="424"/>
      <c r="K66" s="424"/>
      <c r="L66" s="424"/>
      <c r="M66" s="424"/>
    </row>
    <row r="67" spans="1:17">
      <c r="B67" s="179" t="s">
        <v>106</v>
      </c>
      <c r="C67" s="282"/>
      <c r="D67" s="154"/>
      <c r="G67" s="407"/>
      <c r="J67" s="1061">
        <f>J52+J63</f>
        <v>2504552.9265881083</v>
      </c>
      <c r="K67" s="1061"/>
      <c r="L67" s="1061">
        <f>H67+J67</f>
        <v>2504552.9265881083</v>
      </c>
      <c r="M67" s="1061"/>
    </row>
    <row r="68" spans="1:17">
      <c r="B68" s="182" t="s">
        <v>107</v>
      </c>
      <c r="C68" s="168"/>
      <c r="G68" s="407"/>
      <c r="J68" s="424"/>
      <c r="K68" s="427"/>
      <c r="L68" s="424"/>
      <c r="M68" s="424"/>
    </row>
    <row r="69" spans="1:17">
      <c r="B69" s="7" t="s">
        <v>108</v>
      </c>
      <c r="C69" s="154"/>
      <c r="D69" s="186">
        <v>0.2</v>
      </c>
      <c r="F69">
        <f>J67/D65</f>
        <v>0.61009522191459942</v>
      </c>
      <c r="G69" s="407"/>
      <c r="J69" s="1057">
        <f>J67*0.2</f>
        <v>500910.58531762171</v>
      </c>
      <c r="K69" s="1057"/>
      <c r="L69" s="1057">
        <f t="shared" ref="L69" si="15">H69+J69</f>
        <v>500910.58531762171</v>
      </c>
      <c r="M69" s="1057"/>
    </row>
    <row r="70" spans="1:17">
      <c r="G70" s="407"/>
    </row>
    <row r="71" spans="1:17">
      <c r="G71" s="407"/>
    </row>
    <row r="72" spans="1:17">
      <c r="B72" s="7" t="s">
        <v>318</v>
      </c>
      <c r="C72" s="154"/>
      <c r="D72" s="154"/>
      <c r="G72" s="407"/>
      <c r="J72" s="1057">
        <f>J67-J69</f>
        <v>2003642.3412704866</v>
      </c>
      <c r="K72" s="1057"/>
      <c r="L72" s="1057">
        <f t="shared" ref="L72" si="16">H72+J72</f>
        <v>2003642.3412704866</v>
      </c>
      <c r="M72" s="1057"/>
    </row>
    <row r="73" spans="1:17">
      <c r="G73" s="407"/>
    </row>
    <row r="74" spans="1:17">
      <c r="G74" s="407"/>
      <c r="H74" s="407"/>
      <c r="I74" s="408"/>
    </row>
    <row r="75" spans="1:17">
      <c r="A75" s="122"/>
      <c r="B75" s="1" t="s">
        <v>110</v>
      </c>
      <c r="C75" s="1004" t="s">
        <v>111</v>
      </c>
      <c r="D75" s="1004"/>
      <c r="E75" s="1004"/>
      <c r="F75" s="1024" t="s">
        <v>11</v>
      </c>
      <c r="G75" s="1024"/>
      <c r="H75" s="1024"/>
      <c r="I75" s="1024"/>
      <c r="J75" s="1004" t="s">
        <v>112</v>
      </c>
      <c r="K75" s="1004"/>
      <c r="L75" s="1004"/>
      <c r="M75" s="1004"/>
      <c r="N75" s="8"/>
    </row>
    <row r="76" spans="1:17">
      <c r="A76" s="106"/>
      <c r="B76" s="1"/>
    </row>
    <row r="77" spans="1:17" ht="15" customHeight="1">
      <c r="A77" s="122"/>
      <c r="B77" s="1" t="s">
        <v>113</v>
      </c>
      <c r="C77" s="1004" t="s">
        <v>114</v>
      </c>
      <c r="D77" s="1004"/>
      <c r="E77" s="1004"/>
      <c r="F77" s="1038" t="s">
        <v>339</v>
      </c>
      <c r="G77" s="1038"/>
      <c r="H77" s="1038"/>
      <c r="I77" s="1038"/>
      <c r="J77" s="1022" t="s">
        <v>116</v>
      </c>
      <c r="K77" s="1022"/>
      <c r="L77" s="1022"/>
      <c r="M77" s="1022"/>
      <c r="N77" s="192"/>
    </row>
    <row r="78" spans="1:17">
      <c r="A78" s="122"/>
      <c r="B78" s="1" t="s">
        <v>117</v>
      </c>
      <c r="C78" s="1004" t="s">
        <v>118</v>
      </c>
      <c r="D78" s="1004"/>
      <c r="E78" s="1004"/>
      <c r="F78" s="1024" t="s">
        <v>324</v>
      </c>
      <c r="G78" s="1024"/>
      <c r="H78" s="1024"/>
      <c r="I78" s="1024"/>
      <c r="J78" s="1004" t="s">
        <v>119</v>
      </c>
      <c r="K78" s="1004"/>
      <c r="L78" s="1004"/>
      <c r="M78" s="1004"/>
      <c r="N78" s="8"/>
    </row>
    <row r="79" spans="1:17">
      <c r="Q79" s="428"/>
    </row>
    <row r="81" spans="7:17">
      <c r="G81" s="407"/>
      <c r="H81" s="407"/>
      <c r="I81" s="408"/>
    </row>
    <row r="82" spans="7:17">
      <c r="G82" s="407"/>
      <c r="H82" s="407"/>
      <c r="I82" s="408"/>
      <c r="L82" s="121"/>
      <c r="M82" s="121"/>
      <c r="N82" s="121"/>
      <c r="O82" s="1004"/>
      <c r="P82" s="1004"/>
      <c r="Q82" s="1004"/>
    </row>
    <row r="83" spans="7:17">
      <c r="G83" s="407"/>
      <c r="H83" s="407"/>
      <c r="I83" s="408"/>
      <c r="J83" s="1004"/>
      <c r="K83" s="1004"/>
      <c r="L83" s="1004"/>
      <c r="M83" s="1004"/>
      <c r="N83" s="1004"/>
      <c r="O83" s="1004"/>
      <c r="P83" s="1004"/>
    </row>
    <row r="84" spans="7:17">
      <c r="G84" s="407"/>
      <c r="H84" s="407"/>
      <c r="I84" s="408"/>
      <c r="J84" s="1062"/>
      <c r="K84" s="1062"/>
      <c r="L84" s="1062"/>
      <c r="M84" s="1062"/>
      <c r="N84" s="1062"/>
      <c r="O84" s="192"/>
      <c r="P84" s="192"/>
      <c r="Q84" s="192"/>
    </row>
    <row r="85" spans="7:17">
      <c r="G85" s="407"/>
      <c r="H85" s="407"/>
      <c r="I85" s="408"/>
      <c r="J85" s="191"/>
      <c r="K85" s="191"/>
      <c r="L85" s="191"/>
      <c r="M85" s="191"/>
      <c r="N85" s="1004"/>
      <c r="O85" s="1004"/>
      <c r="P85" s="1004"/>
      <c r="Q85" s="1004"/>
    </row>
    <row r="86" spans="7:17">
      <c r="G86" s="407"/>
      <c r="H86" s="407"/>
      <c r="I86" s="408"/>
    </row>
    <row r="87" spans="7:17">
      <c r="G87" s="407"/>
      <c r="H87" s="407"/>
      <c r="I87" s="407"/>
    </row>
    <row r="88" spans="7:17">
      <c r="G88" s="407"/>
      <c r="H88" s="407"/>
      <c r="I88" s="407"/>
    </row>
    <row r="103" spans="7:14">
      <c r="G103" s="1"/>
      <c r="H103" s="1"/>
      <c r="I103" s="1"/>
      <c r="J103" s="1"/>
      <c r="K103" s="1"/>
      <c r="L103" s="1"/>
      <c r="M103" s="1"/>
      <c r="N103" s="1"/>
    </row>
    <row r="104" spans="7:14">
      <c r="G104" s="2"/>
      <c r="H104" s="2"/>
      <c r="I104" s="2"/>
      <c r="J104" s="2"/>
      <c r="K104" s="2"/>
      <c r="L104" s="2"/>
      <c r="M104" s="2"/>
      <c r="N104" s="2"/>
    </row>
  </sheetData>
  <mergeCells count="52">
    <mergeCell ref="J84:N84"/>
    <mergeCell ref="N85:Q85"/>
    <mergeCell ref="C78:E78"/>
    <mergeCell ref="F78:I78"/>
    <mergeCell ref="J78:M78"/>
    <mergeCell ref="O82:Q82"/>
    <mergeCell ref="J83:M83"/>
    <mergeCell ref="N83:P83"/>
    <mergeCell ref="C75:E75"/>
    <mergeCell ref="F75:I75"/>
    <mergeCell ref="J75:M75"/>
    <mergeCell ref="C77:E77"/>
    <mergeCell ref="F77:I77"/>
    <mergeCell ref="J77:M77"/>
    <mergeCell ref="J72:K72"/>
    <mergeCell ref="L72:M72"/>
    <mergeCell ref="J60:K60"/>
    <mergeCell ref="L60:M60"/>
    <mergeCell ref="J61:K61"/>
    <mergeCell ref="L61:M61"/>
    <mergeCell ref="L62:M62"/>
    <mergeCell ref="J63:K63"/>
    <mergeCell ref="L63:M63"/>
    <mergeCell ref="L64:M64"/>
    <mergeCell ref="J67:K67"/>
    <mergeCell ref="L67:M67"/>
    <mergeCell ref="J69:K69"/>
    <mergeCell ref="L69:M69"/>
    <mergeCell ref="J57:K57"/>
    <mergeCell ref="L57:M57"/>
    <mergeCell ref="J58:K58"/>
    <mergeCell ref="L58:M58"/>
    <mergeCell ref="J59:K59"/>
    <mergeCell ref="L59:M59"/>
    <mergeCell ref="J52:K52"/>
    <mergeCell ref="L52:M52"/>
    <mergeCell ref="J55:K55"/>
    <mergeCell ref="L55:M55"/>
    <mergeCell ref="J56:K56"/>
    <mergeCell ref="L56:M56"/>
    <mergeCell ref="A42:L43"/>
    <mergeCell ref="B44:L44"/>
    <mergeCell ref="C46:F46"/>
    <mergeCell ref="H51:I51"/>
    <mergeCell ref="J51:K51"/>
    <mergeCell ref="L51:M51"/>
    <mergeCell ref="A1:M1"/>
    <mergeCell ref="A2:M2"/>
    <mergeCell ref="C5:F5"/>
    <mergeCell ref="A9:F9"/>
    <mergeCell ref="G9:J9"/>
    <mergeCell ref="K9:M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251D-BB85-4408-9DD9-D0A274C4A198}">
  <sheetPr>
    <pageSetUpPr fitToPage="1"/>
  </sheetPr>
  <dimension ref="A1:L23"/>
  <sheetViews>
    <sheetView workbookViewId="0">
      <selection sqref="A1:I22"/>
    </sheetView>
  </sheetViews>
  <sheetFormatPr baseColWidth="10" defaultRowHeight="15"/>
  <cols>
    <col min="2" max="2" width="62" customWidth="1"/>
  </cols>
  <sheetData>
    <row r="1" spans="1:12" ht="40.5" customHeight="1">
      <c r="J1" s="1144"/>
      <c r="K1" s="1144"/>
      <c r="L1" s="1144"/>
    </row>
    <row r="2" spans="1:12">
      <c r="B2" s="1143"/>
      <c r="C2" s="1144"/>
      <c r="D2" s="1143"/>
      <c r="E2" s="1143"/>
      <c r="F2" s="1143"/>
      <c r="G2" s="1143"/>
      <c r="H2" s="1143"/>
      <c r="I2" s="1143"/>
      <c r="J2" s="1144"/>
      <c r="K2" s="1144"/>
      <c r="L2" s="1144"/>
    </row>
    <row r="3" spans="1:12">
      <c r="B3" s="1143"/>
      <c r="C3" s="1144"/>
      <c r="D3" s="1143"/>
      <c r="E3" s="1143"/>
      <c r="F3" s="1143"/>
      <c r="G3" s="1143"/>
      <c r="H3" s="1143"/>
      <c r="I3" s="1143"/>
      <c r="J3" s="1144"/>
      <c r="K3" s="1144"/>
      <c r="L3" s="1144"/>
    </row>
    <row r="4" spans="1:12" ht="15.75">
      <c r="B4" s="1145" t="s">
        <v>795</v>
      </c>
      <c r="C4" s="1145"/>
      <c r="D4" s="1145"/>
      <c r="E4" s="1145"/>
      <c r="F4" s="1145"/>
      <c r="G4" s="1145"/>
      <c r="H4" s="1145"/>
      <c r="I4" s="1145"/>
      <c r="J4" s="1144"/>
      <c r="K4" s="1144"/>
      <c r="L4" s="1144"/>
    </row>
    <row r="5" spans="1:12" ht="15.75">
      <c r="B5" s="1145" t="s">
        <v>796</v>
      </c>
      <c r="C5" s="1145"/>
      <c r="D5" s="1145"/>
      <c r="E5" s="1145"/>
      <c r="F5" s="1145"/>
      <c r="G5" s="1145"/>
      <c r="H5" s="1145"/>
      <c r="I5" s="1145"/>
      <c r="J5" s="1144"/>
      <c r="K5" s="1144"/>
      <c r="L5" s="1144"/>
    </row>
    <row r="6" spans="1:12" ht="21">
      <c r="A6" s="1151"/>
      <c r="B6" s="1150" t="s">
        <v>801</v>
      </c>
      <c r="C6" s="1150"/>
      <c r="D6" s="1150"/>
      <c r="E6" s="1150"/>
      <c r="F6" s="1150"/>
      <c r="G6" s="1150"/>
      <c r="H6" s="1150"/>
      <c r="I6" s="1150"/>
      <c r="J6" s="1144"/>
      <c r="K6" s="1144"/>
      <c r="L6" s="1144"/>
    </row>
    <row r="7" spans="1:12" ht="15.75">
      <c r="B7" s="1145" t="s">
        <v>802</v>
      </c>
      <c r="C7" s="1145"/>
      <c r="D7" s="1145"/>
      <c r="E7" s="1145"/>
      <c r="F7" s="1145"/>
      <c r="G7" s="1145"/>
      <c r="H7" s="1145"/>
      <c r="I7" s="1145"/>
      <c r="J7" s="1144"/>
      <c r="K7" s="1144"/>
      <c r="L7" s="1144"/>
    </row>
    <row r="8" spans="1:12">
      <c r="B8" s="1143"/>
      <c r="C8" s="1144"/>
      <c r="D8" s="1143"/>
      <c r="E8" s="1143"/>
      <c r="F8" s="1143"/>
      <c r="G8" s="1143"/>
      <c r="H8" s="1143"/>
      <c r="I8" s="1143"/>
      <c r="J8" s="1144"/>
      <c r="K8" s="1144"/>
      <c r="L8" s="1144"/>
    </row>
    <row r="9" spans="1:12">
      <c r="B9" s="1143"/>
      <c r="C9" s="1144"/>
      <c r="D9" s="1143"/>
      <c r="E9" s="1143"/>
      <c r="F9" s="1143"/>
      <c r="G9" s="1143"/>
      <c r="H9" s="1143"/>
      <c r="I9" s="1143"/>
      <c r="J9" s="1144"/>
      <c r="K9" s="1144"/>
      <c r="L9" s="1144"/>
    </row>
    <row r="10" spans="1:12">
      <c r="B10" s="1143"/>
      <c r="C10" s="1144"/>
      <c r="D10" s="1143"/>
      <c r="E10" s="1143"/>
      <c r="F10" s="1143"/>
      <c r="G10" s="1143"/>
      <c r="H10" s="1143"/>
      <c r="I10" s="1143"/>
      <c r="J10" s="1144"/>
      <c r="K10" s="1144"/>
      <c r="L10" s="1144"/>
    </row>
    <row r="11" spans="1:12">
      <c r="A11" s="1143"/>
      <c r="B11" s="1144"/>
      <c r="C11" s="1143"/>
      <c r="D11" s="1143"/>
      <c r="E11" s="1143"/>
      <c r="F11" s="1143"/>
      <c r="G11" s="1143"/>
      <c r="H11" s="1143"/>
      <c r="I11" s="1144"/>
      <c r="J11" s="1144"/>
      <c r="K11" s="1144"/>
      <c r="L11" s="1144"/>
    </row>
    <row r="12" spans="1:12" ht="24">
      <c r="A12" s="1143"/>
      <c r="B12" s="1146" t="s">
        <v>797</v>
      </c>
      <c r="C12" s="1143"/>
      <c r="D12" s="1143"/>
      <c r="E12" s="1143"/>
      <c r="F12" s="1143"/>
      <c r="G12" s="1143"/>
      <c r="H12" s="1143"/>
      <c r="I12" s="1144"/>
      <c r="J12" s="1144"/>
      <c r="K12" s="1144"/>
      <c r="L12" s="1144"/>
    </row>
    <row r="13" spans="1:12" ht="21">
      <c r="A13" s="1143"/>
      <c r="B13" s="1147"/>
      <c r="C13" s="1143"/>
      <c r="D13" s="1143"/>
      <c r="E13" s="1143"/>
      <c r="F13" s="1143"/>
      <c r="G13" s="1143"/>
      <c r="H13" s="1143"/>
      <c r="I13" s="1144"/>
      <c r="J13" s="1144"/>
      <c r="K13" s="1144"/>
      <c r="L13" s="1144"/>
    </row>
    <row r="14" spans="1:12" ht="18.75">
      <c r="A14" s="1143"/>
      <c r="B14" s="1148" t="s">
        <v>803</v>
      </c>
      <c r="C14" s="1148"/>
      <c r="D14" s="1148"/>
      <c r="E14" s="1148"/>
      <c r="F14" s="1148"/>
      <c r="G14" s="1148"/>
      <c r="H14" s="1148"/>
      <c r="I14" s="1148"/>
      <c r="J14" s="1144"/>
      <c r="K14" s="1144"/>
      <c r="L14" s="1144"/>
    </row>
    <row r="15" spans="1:12">
      <c r="A15" s="1143"/>
      <c r="B15" s="1144"/>
      <c r="C15" s="1143"/>
      <c r="D15" s="1143"/>
      <c r="E15" s="1143"/>
      <c r="F15" s="1143"/>
      <c r="G15" s="1143"/>
      <c r="H15" s="1143"/>
      <c r="I15" s="1144"/>
      <c r="J15" s="1144"/>
      <c r="K15" s="1144"/>
      <c r="L15" s="1144"/>
    </row>
    <row r="16" spans="1:12">
      <c r="A16" s="1143"/>
      <c r="B16" s="1144"/>
      <c r="C16" s="1143"/>
      <c r="D16" s="1143"/>
      <c r="E16" s="1143"/>
      <c r="F16" s="1143"/>
      <c r="G16" s="1143"/>
      <c r="H16" s="1143"/>
      <c r="I16" s="1144"/>
      <c r="J16" s="1144"/>
      <c r="K16" s="1144"/>
      <c r="L16" s="1144"/>
    </row>
    <row r="17" spans="1:12">
      <c r="A17" s="1143"/>
      <c r="B17" s="1144"/>
      <c r="C17" s="1143"/>
      <c r="D17" s="1143"/>
      <c r="E17" s="1143"/>
      <c r="F17" s="1143"/>
      <c r="G17" s="1143"/>
      <c r="H17" s="1143"/>
      <c r="I17" s="1144"/>
      <c r="J17" s="1144"/>
      <c r="K17" s="1144"/>
      <c r="L17" s="1144"/>
    </row>
    <row r="18" spans="1:12">
      <c r="A18" s="1143"/>
      <c r="B18" s="1144"/>
      <c r="C18" s="1143"/>
      <c r="D18" s="1143"/>
      <c r="E18" s="1143"/>
      <c r="F18" s="1143"/>
      <c r="G18" s="1143"/>
      <c r="H18" s="1143"/>
      <c r="I18" s="1144"/>
      <c r="J18" s="1144"/>
      <c r="K18" s="1144"/>
      <c r="L18" s="1144"/>
    </row>
    <row r="19" spans="1:12">
      <c r="A19" s="1143"/>
      <c r="B19" s="1144"/>
      <c r="C19" s="1143"/>
      <c r="D19" s="1143"/>
      <c r="E19" s="1143"/>
      <c r="F19" s="1143"/>
      <c r="G19" s="1143"/>
      <c r="H19" s="1143"/>
      <c r="I19" s="1144"/>
      <c r="J19" s="1144"/>
      <c r="K19" s="1144"/>
      <c r="L19" s="1144"/>
    </row>
    <row r="20" spans="1:12">
      <c r="A20" s="1143"/>
      <c r="B20" s="1144"/>
      <c r="C20" s="1143"/>
      <c r="D20" s="1143"/>
      <c r="E20" s="1143"/>
      <c r="F20" s="1143"/>
      <c r="G20" s="1143"/>
      <c r="H20" s="1143"/>
      <c r="I20" s="1144"/>
      <c r="J20" s="1144"/>
      <c r="K20" s="1144"/>
      <c r="L20" s="1144"/>
    </row>
    <row r="21" spans="1:12">
      <c r="A21" s="1143"/>
      <c r="B21" s="1144"/>
      <c r="C21" s="1143"/>
      <c r="D21" s="1143"/>
      <c r="E21" s="1143"/>
      <c r="F21" s="1143"/>
      <c r="G21" s="1143"/>
      <c r="H21" s="1143"/>
      <c r="I21" s="1144"/>
      <c r="J21" s="1144"/>
      <c r="K21" s="1144"/>
      <c r="L21" s="1144"/>
    </row>
    <row r="22" spans="1:12">
      <c r="A22" s="1143"/>
      <c r="B22" s="1144"/>
      <c r="C22" s="1143"/>
      <c r="D22" s="1143"/>
      <c r="E22" s="1143"/>
      <c r="F22" s="1143"/>
      <c r="G22" s="1143"/>
      <c r="H22" s="1143"/>
      <c r="I22" s="1144"/>
      <c r="J22" s="1144"/>
      <c r="K22" s="1144"/>
      <c r="L22" s="1144"/>
    </row>
    <row r="23" spans="1:12">
      <c r="A23" s="1143"/>
      <c r="B23" s="1144"/>
      <c r="C23" s="1143"/>
      <c r="D23" s="1143"/>
      <c r="E23" s="1143"/>
      <c r="F23" s="1143"/>
      <c r="G23" s="1143"/>
      <c r="H23" s="1143"/>
      <c r="I23" s="1144"/>
      <c r="J23" s="1144"/>
      <c r="K23" s="1144"/>
      <c r="L23" s="1144"/>
    </row>
  </sheetData>
  <mergeCells count="4">
    <mergeCell ref="B7:I7"/>
    <mergeCell ref="B4:I4"/>
    <mergeCell ref="B5:I5"/>
    <mergeCell ref="B6:I6"/>
  </mergeCells>
  <pageMargins left="0" right="0" top="0.74803149606299213" bottom="0.74803149606299213" header="0.31496062992125984" footer="0.31496062992125984"/>
  <pageSetup scale="9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D99D5-8DCF-442C-AFBC-6B5E5AB8C5C1}">
  <dimension ref="A2:I14"/>
  <sheetViews>
    <sheetView workbookViewId="0">
      <selection activeCell="K16" sqref="K16"/>
    </sheetView>
  </sheetViews>
  <sheetFormatPr baseColWidth="10" defaultRowHeight="15"/>
  <cols>
    <col min="6" max="6" width="16.42578125" customWidth="1"/>
  </cols>
  <sheetData>
    <row r="2" spans="1:9">
      <c r="B2" s="1143"/>
      <c r="C2" s="1144"/>
      <c r="D2" s="1143"/>
      <c r="E2" s="1143"/>
      <c r="F2" s="1143"/>
      <c r="G2" s="1143"/>
      <c r="H2" s="1143"/>
      <c r="I2" s="1143"/>
    </row>
    <row r="3" spans="1:9">
      <c r="B3" s="1143"/>
      <c r="C3" s="1144"/>
      <c r="D3" s="1143"/>
      <c r="E3" s="1143"/>
      <c r="F3" s="1143"/>
      <c r="G3" s="1143"/>
      <c r="H3" s="1143"/>
      <c r="I3" s="1143"/>
    </row>
    <row r="4" spans="1:9" ht="15.75">
      <c r="B4" s="1145" t="s">
        <v>795</v>
      </c>
      <c r="C4" s="1145"/>
      <c r="D4" s="1145"/>
      <c r="E4" s="1145"/>
      <c r="F4" s="1145"/>
      <c r="G4" s="1145"/>
      <c r="H4" s="1145"/>
      <c r="I4" s="1145"/>
    </row>
    <row r="5" spans="1:9" ht="15.75">
      <c r="B5" s="1145" t="s">
        <v>796</v>
      </c>
      <c r="C5" s="1145"/>
      <c r="D5" s="1145"/>
      <c r="E5" s="1145"/>
      <c r="F5" s="1145"/>
      <c r="G5" s="1145"/>
      <c r="H5" s="1145"/>
      <c r="I5" s="1145"/>
    </row>
    <row r="6" spans="1:9" ht="21">
      <c r="A6" s="1151"/>
      <c r="B6" s="1150" t="s">
        <v>801</v>
      </c>
      <c r="C6" s="1150"/>
      <c r="D6" s="1150"/>
      <c r="E6" s="1150"/>
      <c r="F6" s="1150"/>
      <c r="G6" s="1150"/>
      <c r="H6" s="1150"/>
      <c r="I6" s="1150"/>
    </row>
    <row r="7" spans="1:9" ht="15.75">
      <c r="B7" s="1145" t="s">
        <v>802</v>
      </c>
      <c r="C7" s="1145"/>
      <c r="D7" s="1145"/>
      <c r="E7" s="1145"/>
      <c r="F7" s="1145"/>
      <c r="G7" s="1145"/>
      <c r="H7" s="1145"/>
      <c r="I7" s="1145"/>
    </row>
    <row r="8" spans="1:9">
      <c r="B8" s="1143"/>
      <c r="C8" s="1144"/>
      <c r="D8" s="1143"/>
      <c r="E8" s="1143"/>
      <c r="F8" s="1143"/>
      <c r="G8" s="1143"/>
      <c r="H8" s="1143"/>
      <c r="I8" s="1143"/>
    </row>
    <row r="9" spans="1:9">
      <c r="B9" s="1143"/>
      <c r="C9" s="1144"/>
      <c r="D9" s="1143"/>
      <c r="E9" s="1143"/>
      <c r="F9" s="1143"/>
      <c r="G9" s="1143"/>
      <c r="H9" s="1143"/>
      <c r="I9" s="1143"/>
    </row>
    <row r="10" spans="1:9">
      <c r="B10" s="1143"/>
      <c r="C10" s="1144"/>
      <c r="D10" s="1143"/>
      <c r="E10" s="1143"/>
      <c r="F10" s="1143"/>
      <c r="G10" s="1143"/>
      <c r="H10" s="1143"/>
      <c r="I10" s="1143"/>
    </row>
    <row r="11" spans="1:9">
      <c r="B11" s="1143"/>
      <c r="C11" s="1144"/>
      <c r="D11" s="1143"/>
      <c r="E11" s="1143"/>
      <c r="F11" s="1143"/>
      <c r="G11" s="1143"/>
      <c r="H11" s="1143"/>
      <c r="I11" s="1143"/>
    </row>
    <row r="12" spans="1:9">
      <c r="B12" s="1143"/>
      <c r="C12" s="1144"/>
      <c r="D12" s="1143"/>
      <c r="E12" s="1143"/>
      <c r="F12" s="1143"/>
      <c r="G12" s="1143"/>
      <c r="H12" s="1143"/>
      <c r="I12" s="1143"/>
    </row>
    <row r="13" spans="1:9">
      <c r="B13" s="1143"/>
      <c r="C13" s="1144"/>
      <c r="D13" s="1143"/>
      <c r="E13" s="1143"/>
      <c r="F13" s="1143"/>
      <c r="G13" s="1143"/>
      <c r="H13" s="1143"/>
      <c r="I13" s="1143"/>
    </row>
    <row r="14" spans="1:9" ht="36.75" customHeight="1">
      <c r="E14" s="1149" t="s">
        <v>799</v>
      </c>
      <c r="F14" s="1149"/>
    </row>
  </sheetData>
  <mergeCells count="4">
    <mergeCell ref="B6:I6"/>
    <mergeCell ref="B7:I7"/>
    <mergeCell ref="B4:I4"/>
    <mergeCell ref="B5:I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julio </vt:lpstr>
      <vt:lpstr>CUB5 CABARETE</vt:lpstr>
      <vt:lpstr>CUB.2 SAN MARCOS </vt:lpstr>
      <vt:lpstr>CUB.3 SAN MARCOS </vt:lpstr>
      <vt:lpstr>cub.2 Los Llibres </vt:lpstr>
      <vt:lpstr>CUB.1 LOS DOMINGUEZ</vt:lpstr>
      <vt:lpstr>CUB.1 LOS CHARAMICOS </vt:lpstr>
      <vt:lpstr>AGOSTO </vt:lpstr>
      <vt:lpstr>SEPTIEMBRE </vt:lpstr>
      <vt:lpstr>CUB.5 ESTERO HONDO</vt:lpstr>
      <vt:lpstr>CUB.6 ESTERO HONDO</vt:lpstr>
      <vt:lpstr>Cub.2 Mirador Sur </vt:lpstr>
      <vt:lpstr>CUB.4 EDIFICIO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Ramón Moore</dc:creator>
  <cp:lastModifiedBy>Marieli Tineo Almonte</cp:lastModifiedBy>
  <cp:lastPrinted>2024-10-24T16:07:03Z</cp:lastPrinted>
  <dcterms:created xsi:type="dcterms:W3CDTF">2024-10-09T14:35:18Z</dcterms:created>
  <dcterms:modified xsi:type="dcterms:W3CDTF">2024-10-24T16:07:21Z</dcterms:modified>
</cp:coreProperties>
</file>