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6B718AB4-6E62-4966-8025-7D1F2B409A3A}" xr6:coauthVersionLast="47" xr6:coauthVersionMax="47" xr10:uidLastSave="{00000000-0000-0000-0000-000000000000}"/>
  <bookViews>
    <workbookView xWindow="-120" yWindow="-120" windowWidth="29040" windowHeight="15840" xr2:uid="{A5BB8C5D-2F46-4C90-9626-ED5B7F725389}"/>
  </bookViews>
  <sheets>
    <sheet name="PORTADA" sheetId="8" r:id="rId1"/>
    <sheet name="octubre " sheetId="1" r:id="rId2"/>
    <sheet name="cub.2 los dominguez " sheetId="2" r:id="rId3"/>
    <sheet name="cub.4 maria la o" sheetId="3" r:id="rId4"/>
    <sheet name="noviembre " sheetId="4" r:id="rId5"/>
    <sheet name="cub.4 san marcos " sheetId="5" r:id="rId6"/>
    <sheet name="Diciembre " sheetId="6" r:id="rId7"/>
    <sheet name="CUB.5 MARIA LA O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0" i="7" l="1"/>
  <c r="L207" i="7"/>
  <c r="K207" i="7"/>
  <c r="L206" i="7"/>
  <c r="K206" i="7"/>
  <c r="I206" i="7"/>
  <c r="J206" i="7" s="1"/>
  <c r="F206" i="7"/>
  <c r="M205" i="7"/>
  <c r="L205" i="7"/>
  <c r="K205" i="7"/>
  <c r="J205" i="7"/>
  <c r="I205" i="7"/>
  <c r="F205" i="7"/>
  <c r="L201" i="7"/>
  <c r="K201" i="7"/>
  <c r="M201" i="7" s="1"/>
  <c r="I201" i="7"/>
  <c r="J201" i="7" s="1"/>
  <c r="F201" i="7"/>
  <c r="M200" i="7"/>
  <c r="L200" i="7"/>
  <c r="K200" i="7"/>
  <c r="J200" i="7"/>
  <c r="I200" i="7"/>
  <c r="F200" i="7"/>
  <c r="L199" i="7"/>
  <c r="L202" i="7" s="1"/>
  <c r="K199" i="7"/>
  <c r="M199" i="7" s="1"/>
  <c r="I199" i="7"/>
  <c r="J199" i="7" s="1"/>
  <c r="F199" i="7"/>
  <c r="F197" i="7"/>
  <c r="M196" i="7"/>
  <c r="L196" i="7"/>
  <c r="K196" i="7"/>
  <c r="J196" i="7"/>
  <c r="I196" i="7"/>
  <c r="F196" i="7"/>
  <c r="L195" i="7"/>
  <c r="K195" i="7"/>
  <c r="M195" i="7" s="1"/>
  <c r="I195" i="7"/>
  <c r="J195" i="7" s="1"/>
  <c r="F195" i="7"/>
  <c r="M194" i="7"/>
  <c r="L194" i="7"/>
  <c r="L197" i="7" s="1"/>
  <c r="K194" i="7"/>
  <c r="I194" i="7"/>
  <c r="J194" i="7" s="1"/>
  <c r="F194" i="7"/>
  <c r="L191" i="7"/>
  <c r="K191" i="7"/>
  <c r="M191" i="7" s="1"/>
  <c r="J191" i="7"/>
  <c r="I191" i="7"/>
  <c r="F191" i="7"/>
  <c r="M190" i="7"/>
  <c r="L190" i="7"/>
  <c r="K190" i="7"/>
  <c r="I190" i="7"/>
  <c r="J190" i="7" s="1"/>
  <c r="F190" i="7"/>
  <c r="L189" i="7"/>
  <c r="L192" i="7" s="1"/>
  <c r="K189" i="7"/>
  <c r="M189" i="7" s="1"/>
  <c r="J189" i="7"/>
  <c r="I189" i="7"/>
  <c r="F189" i="7"/>
  <c r="L185" i="7"/>
  <c r="M185" i="7" s="1"/>
  <c r="H185" i="7"/>
  <c r="H184" i="7"/>
  <c r="L184" i="7" s="1"/>
  <c r="M184" i="7" s="1"/>
  <c r="M183" i="7"/>
  <c r="L183" i="7"/>
  <c r="H183" i="7"/>
  <c r="L182" i="7"/>
  <c r="M182" i="7" s="1"/>
  <c r="H182" i="7"/>
  <c r="H181" i="7"/>
  <c r="L181" i="7" s="1"/>
  <c r="M181" i="7" s="1"/>
  <c r="H180" i="7"/>
  <c r="L180" i="7" s="1"/>
  <c r="M180" i="7" s="1"/>
  <c r="M179" i="7"/>
  <c r="L179" i="7"/>
  <c r="H179" i="7"/>
  <c r="L176" i="7"/>
  <c r="M176" i="7" s="1"/>
  <c r="H175" i="7"/>
  <c r="L175" i="7" s="1"/>
  <c r="M175" i="7" s="1"/>
  <c r="M174" i="7"/>
  <c r="L174" i="7"/>
  <c r="H174" i="7"/>
  <c r="L173" i="7"/>
  <c r="M173" i="7" s="1"/>
  <c r="H173" i="7"/>
  <c r="L172" i="7"/>
  <c r="M172" i="7" s="1"/>
  <c r="H172" i="7"/>
  <c r="H171" i="7"/>
  <c r="L171" i="7" s="1"/>
  <c r="M171" i="7" s="1"/>
  <c r="M170" i="7"/>
  <c r="L170" i="7"/>
  <c r="H170" i="7"/>
  <c r="L169" i="7"/>
  <c r="M169" i="7" s="1"/>
  <c r="H169" i="7"/>
  <c r="M165" i="7"/>
  <c r="L165" i="7"/>
  <c r="H165" i="7"/>
  <c r="L164" i="7"/>
  <c r="M164" i="7" s="1"/>
  <c r="H164" i="7"/>
  <c r="L163" i="7"/>
  <c r="M163" i="7" s="1"/>
  <c r="H163" i="7"/>
  <c r="H162" i="7"/>
  <c r="L162" i="7" s="1"/>
  <c r="M162" i="7" s="1"/>
  <c r="M161" i="7"/>
  <c r="L161" i="7"/>
  <c r="H161" i="7"/>
  <c r="L160" i="7"/>
  <c r="M160" i="7" s="1"/>
  <c r="H160" i="7"/>
  <c r="H159" i="7"/>
  <c r="L159" i="7" s="1"/>
  <c r="L155" i="7"/>
  <c r="M155" i="7" s="1"/>
  <c r="H155" i="7"/>
  <c r="H154" i="7"/>
  <c r="L154" i="7" s="1"/>
  <c r="M154" i="7" s="1"/>
  <c r="H153" i="7"/>
  <c r="L153" i="7" s="1"/>
  <c r="M153" i="7" s="1"/>
  <c r="M152" i="7"/>
  <c r="L152" i="7"/>
  <c r="H152" i="7"/>
  <c r="M151" i="7"/>
  <c r="L151" i="7"/>
  <c r="H151" i="7"/>
  <c r="H150" i="7"/>
  <c r="L150" i="7" s="1"/>
  <c r="M150" i="7" s="1"/>
  <c r="H149" i="7"/>
  <c r="L149" i="7" s="1"/>
  <c r="L144" i="7"/>
  <c r="M144" i="7" s="1"/>
  <c r="H144" i="7"/>
  <c r="F144" i="7"/>
  <c r="L143" i="7"/>
  <c r="M143" i="7" s="1"/>
  <c r="H143" i="7"/>
  <c r="F143" i="7"/>
  <c r="L142" i="7"/>
  <c r="M142" i="7" s="1"/>
  <c r="H142" i="7"/>
  <c r="F142" i="7"/>
  <c r="L141" i="7"/>
  <c r="M141" i="7" s="1"/>
  <c r="H141" i="7"/>
  <c r="F141" i="7"/>
  <c r="L140" i="7"/>
  <c r="M140" i="7" s="1"/>
  <c r="H140" i="7"/>
  <c r="F140" i="7"/>
  <c r="L139" i="7"/>
  <c r="M139" i="7" s="1"/>
  <c r="H139" i="7"/>
  <c r="F139" i="7"/>
  <c r="L138" i="7"/>
  <c r="H138" i="7"/>
  <c r="F138" i="7"/>
  <c r="F145" i="7" s="1"/>
  <c r="H135" i="7"/>
  <c r="L135" i="7" s="1"/>
  <c r="M135" i="7" s="1"/>
  <c r="F135" i="7"/>
  <c r="L134" i="7"/>
  <c r="M134" i="7" s="1"/>
  <c r="H134" i="7"/>
  <c r="F134" i="7"/>
  <c r="H133" i="7"/>
  <c r="L133" i="7" s="1"/>
  <c r="M133" i="7" s="1"/>
  <c r="F133" i="7"/>
  <c r="H132" i="7"/>
  <c r="L132" i="7" s="1"/>
  <c r="M132" i="7" s="1"/>
  <c r="F132" i="7"/>
  <c r="H131" i="7"/>
  <c r="L131" i="7" s="1"/>
  <c r="M131" i="7" s="1"/>
  <c r="F131" i="7"/>
  <c r="L130" i="7"/>
  <c r="M130" i="7" s="1"/>
  <c r="H130" i="7"/>
  <c r="F130" i="7"/>
  <c r="H129" i="7"/>
  <c r="L129" i="7" s="1"/>
  <c r="M129" i="7" s="1"/>
  <c r="F129" i="7"/>
  <c r="F136" i="7" s="1"/>
  <c r="F126" i="7"/>
  <c r="F125" i="7"/>
  <c r="F124" i="7"/>
  <c r="F123" i="7"/>
  <c r="F122" i="7"/>
  <c r="F121" i="7"/>
  <c r="F120" i="7"/>
  <c r="F119" i="7"/>
  <c r="F118" i="7"/>
  <c r="F115" i="7"/>
  <c r="F114" i="7"/>
  <c r="F113" i="7"/>
  <c r="F112" i="7"/>
  <c r="F116" i="7" s="1"/>
  <c r="F111" i="7"/>
  <c r="F106" i="7"/>
  <c r="F105" i="7"/>
  <c r="F104" i="7"/>
  <c r="F103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107" i="7" s="1"/>
  <c r="L76" i="7"/>
  <c r="M76" i="7" s="1"/>
  <c r="H76" i="7"/>
  <c r="F76" i="7"/>
  <c r="L75" i="7"/>
  <c r="M75" i="7" s="1"/>
  <c r="H75" i="7"/>
  <c r="F75" i="7"/>
  <c r="L74" i="7"/>
  <c r="M74" i="7" s="1"/>
  <c r="H74" i="7"/>
  <c r="F74" i="7"/>
  <c r="L73" i="7"/>
  <c r="M73" i="7" s="1"/>
  <c r="H73" i="7"/>
  <c r="F73" i="7"/>
  <c r="L72" i="7"/>
  <c r="M72" i="7" s="1"/>
  <c r="H72" i="7"/>
  <c r="F72" i="7"/>
  <c r="L71" i="7"/>
  <c r="H71" i="7"/>
  <c r="F71" i="7"/>
  <c r="F77" i="7" s="1"/>
  <c r="L68" i="7"/>
  <c r="M68" i="7" s="1"/>
  <c r="K68" i="7"/>
  <c r="I68" i="7"/>
  <c r="J68" i="7" s="1"/>
  <c r="H68" i="7"/>
  <c r="F68" i="7"/>
  <c r="A68" i="7"/>
  <c r="K67" i="7"/>
  <c r="H67" i="7"/>
  <c r="F67" i="7"/>
  <c r="K66" i="7"/>
  <c r="H66" i="7"/>
  <c r="F66" i="7"/>
  <c r="L65" i="7"/>
  <c r="K65" i="7"/>
  <c r="M65" i="7" s="1"/>
  <c r="J65" i="7"/>
  <c r="I65" i="7"/>
  <c r="F65" i="7"/>
  <c r="A65" i="7"/>
  <c r="M64" i="7"/>
  <c r="L64" i="7"/>
  <c r="K64" i="7"/>
  <c r="I64" i="7"/>
  <c r="J64" i="7" s="1"/>
  <c r="F64" i="7"/>
  <c r="L63" i="7"/>
  <c r="M63" i="7" s="1"/>
  <c r="K63" i="7"/>
  <c r="H63" i="7"/>
  <c r="I63" i="7" s="1"/>
  <c r="J63" i="7" s="1"/>
  <c r="F63" i="7"/>
  <c r="K62" i="7"/>
  <c r="H62" i="7"/>
  <c r="F62" i="7"/>
  <c r="F69" i="7" s="1"/>
  <c r="A62" i="7"/>
  <c r="A63" i="7" s="1"/>
  <c r="A64" i="7" s="1"/>
  <c r="L60" i="7"/>
  <c r="L59" i="7"/>
  <c r="M59" i="7" s="1"/>
  <c r="K59" i="7"/>
  <c r="I59" i="7"/>
  <c r="J59" i="7" s="1"/>
  <c r="F59" i="7"/>
  <c r="L58" i="7"/>
  <c r="K58" i="7"/>
  <c r="M58" i="7" s="1"/>
  <c r="J58" i="7"/>
  <c r="I58" i="7"/>
  <c r="F58" i="7"/>
  <c r="L57" i="7"/>
  <c r="M57" i="7" s="1"/>
  <c r="K57" i="7"/>
  <c r="I57" i="7"/>
  <c r="J57" i="7" s="1"/>
  <c r="F57" i="7"/>
  <c r="F60" i="7" s="1"/>
  <c r="K56" i="7"/>
  <c r="K60" i="7" s="1"/>
  <c r="L54" i="7"/>
  <c r="K54" i="7"/>
  <c r="M54" i="7" s="1"/>
  <c r="J54" i="7"/>
  <c r="I54" i="7"/>
  <c r="F54" i="7"/>
  <c r="M53" i="7"/>
  <c r="L53" i="7"/>
  <c r="K53" i="7"/>
  <c r="I53" i="7"/>
  <c r="J53" i="7" s="1"/>
  <c r="F53" i="7"/>
  <c r="L52" i="7"/>
  <c r="L55" i="7" s="1"/>
  <c r="K52" i="7"/>
  <c r="M52" i="7" s="1"/>
  <c r="J52" i="7"/>
  <c r="I52" i="7"/>
  <c r="F52" i="7"/>
  <c r="K48" i="7"/>
  <c r="K47" i="7"/>
  <c r="J47" i="7"/>
  <c r="I47" i="7"/>
  <c r="E47" i="7"/>
  <c r="F45" i="7"/>
  <c r="M44" i="7"/>
  <c r="L44" i="7"/>
  <c r="K44" i="7"/>
  <c r="I44" i="7"/>
  <c r="J44" i="7" s="1"/>
  <c r="F44" i="7"/>
  <c r="L43" i="7"/>
  <c r="K43" i="7"/>
  <c r="M43" i="7" s="1"/>
  <c r="J43" i="7"/>
  <c r="I43" i="7"/>
  <c r="F43" i="7"/>
  <c r="M42" i="7"/>
  <c r="L42" i="7"/>
  <c r="K42" i="7"/>
  <c r="I42" i="7"/>
  <c r="J42" i="7" s="1"/>
  <c r="F42" i="7"/>
  <c r="L41" i="7"/>
  <c r="K41" i="7"/>
  <c r="J41" i="7"/>
  <c r="I41" i="7"/>
  <c r="F41" i="7"/>
  <c r="F39" i="7"/>
  <c r="M38" i="7"/>
  <c r="K38" i="7"/>
  <c r="K39" i="7" s="1"/>
  <c r="I38" i="7"/>
  <c r="J38" i="7" s="1"/>
  <c r="H38" i="7"/>
  <c r="L38" i="7" s="1"/>
  <c r="L39" i="7" s="1"/>
  <c r="M39" i="7" s="1"/>
  <c r="F38" i="7"/>
  <c r="M37" i="7"/>
  <c r="L37" i="7"/>
  <c r="K37" i="7"/>
  <c r="L35" i="7"/>
  <c r="L36" i="7" s="1"/>
  <c r="K35" i="7"/>
  <c r="H35" i="7"/>
  <c r="I35" i="7" s="1"/>
  <c r="J35" i="7" s="1"/>
  <c r="F35" i="7"/>
  <c r="F36" i="7" s="1"/>
  <c r="J32" i="7"/>
  <c r="I32" i="7"/>
  <c r="E32" i="7"/>
  <c r="M31" i="7"/>
  <c r="L31" i="7"/>
  <c r="K31" i="7"/>
  <c r="J31" i="7"/>
  <c r="I31" i="7"/>
  <c r="F31" i="7"/>
  <c r="L28" i="7"/>
  <c r="K28" i="7"/>
  <c r="M28" i="7" s="1"/>
  <c r="J28" i="7"/>
  <c r="H28" i="7"/>
  <c r="I28" i="7" s="1"/>
  <c r="F28" i="7"/>
  <c r="K27" i="7"/>
  <c r="M27" i="7" s="1"/>
  <c r="I27" i="7"/>
  <c r="J27" i="7" s="1"/>
  <c r="H27" i="7"/>
  <c r="L27" i="7" s="1"/>
  <c r="L29" i="7" s="1"/>
  <c r="F27" i="7"/>
  <c r="L26" i="7"/>
  <c r="M26" i="7" s="1"/>
  <c r="I26" i="7"/>
  <c r="J26" i="7" s="1"/>
  <c r="F26" i="7"/>
  <c r="K25" i="7"/>
  <c r="M25" i="7" s="1"/>
  <c r="I25" i="7"/>
  <c r="J25" i="7" s="1"/>
  <c r="H25" i="7"/>
  <c r="L25" i="7" s="1"/>
  <c r="F25" i="7"/>
  <c r="L22" i="7"/>
  <c r="K21" i="7"/>
  <c r="K22" i="7" s="1"/>
  <c r="M22" i="7" s="1"/>
  <c r="H21" i="7"/>
  <c r="I21" i="7" s="1"/>
  <c r="J21" i="7" s="1"/>
  <c r="F21" i="7"/>
  <c r="F22" i="7" s="1"/>
  <c r="A21" i="7"/>
  <c r="K18" i="7"/>
  <c r="M18" i="7" s="1"/>
  <c r="I18" i="7"/>
  <c r="J18" i="7" s="1"/>
  <c r="F18" i="7"/>
  <c r="L17" i="7"/>
  <c r="M17" i="7" s="1"/>
  <c r="K17" i="7"/>
  <c r="I17" i="7"/>
  <c r="J17" i="7" s="1"/>
  <c r="F17" i="7"/>
  <c r="L16" i="7"/>
  <c r="K16" i="7"/>
  <c r="M16" i="7" s="1"/>
  <c r="I16" i="7"/>
  <c r="J16" i="7" s="1"/>
  <c r="F16" i="7"/>
  <c r="F19" i="7" s="1"/>
  <c r="L15" i="7"/>
  <c r="K15" i="7"/>
  <c r="J15" i="7"/>
  <c r="I15" i="7"/>
  <c r="F15" i="7"/>
  <c r="A15" i="7"/>
  <c r="A16" i="7" s="1"/>
  <c r="A17" i="7" s="1"/>
  <c r="A18" i="7" s="1"/>
  <c r="K14" i="7"/>
  <c r="I14" i="7"/>
  <c r="J14" i="7" s="1"/>
  <c r="H14" i="7"/>
  <c r="L14" i="7" s="1"/>
  <c r="F14" i="7"/>
  <c r="A14" i="7"/>
  <c r="L110" i="5"/>
  <c r="F72" i="5"/>
  <c r="F71" i="5"/>
  <c r="F70" i="5"/>
  <c r="L69" i="5"/>
  <c r="M69" i="5" s="1"/>
  <c r="H69" i="5"/>
  <c r="I69" i="5" s="1"/>
  <c r="J69" i="5" s="1"/>
  <c r="F69" i="5"/>
  <c r="L68" i="5"/>
  <c r="M68" i="5" s="1"/>
  <c r="J68" i="5"/>
  <c r="H68" i="5"/>
  <c r="I68" i="5" s="1"/>
  <c r="F68" i="5"/>
  <c r="A68" i="5"/>
  <c r="A69" i="5" s="1"/>
  <c r="A70" i="5" s="1"/>
  <c r="A71" i="5" s="1"/>
  <c r="A72" i="5" s="1"/>
  <c r="I67" i="5"/>
  <c r="J67" i="5" s="1"/>
  <c r="H67" i="5"/>
  <c r="L67" i="5" s="1"/>
  <c r="M67" i="5" s="1"/>
  <c r="F67" i="5"/>
  <c r="A67" i="5"/>
  <c r="M66" i="5"/>
  <c r="L66" i="5"/>
  <c r="I66" i="5"/>
  <c r="J66" i="5" s="1"/>
  <c r="F66" i="5"/>
  <c r="A66" i="5"/>
  <c r="F63" i="5"/>
  <c r="F62" i="5"/>
  <c r="F61" i="5"/>
  <c r="L60" i="5"/>
  <c r="M60" i="5" s="1"/>
  <c r="H60" i="5"/>
  <c r="I60" i="5" s="1"/>
  <c r="J60" i="5" s="1"/>
  <c r="F60" i="5"/>
  <c r="L59" i="5"/>
  <c r="M59" i="5" s="1"/>
  <c r="H59" i="5"/>
  <c r="I59" i="5" s="1"/>
  <c r="J59" i="5" s="1"/>
  <c r="F59" i="5"/>
  <c r="A59" i="5"/>
  <c r="A60" i="5" s="1"/>
  <c r="A61" i="5" s="1"/>
  <c r="A62" i="5" s="1"/>
  <c r="A63" i="5" s="1"/>
  <c r="L58" i="5"/>
  <c r="M58" i="5" s="1"/>
  <c r="I58" i="5"/>
  <c r="J58" i="5" s="1"/>
  <c r="H58" i="5"/>
  <c r="F58" i="5"/>
  <c r="A58" i="5"/>
  <c r="M57" i="5"/>
  <c r="L57" i="5"/>
  <c r="L64" i="5" s="1"/>
  <c r="M61" i="5" s="1"/>
  <c r="I57" i="5"/>
  <c r="J57" i="5" s="1"/>
  <c r="F57" i="5"/>
  <c r="A57" i="5"/>
  <c r="F54" i="5"/>
  <c r="F53" i="5"/>
  <c r="F52" i="5"/>
  <c r="L51" i="5"/>
  <c r="M51" i="5" s="1"/>
  <c r="H51" i="5"/>
  <c r="I51" i="5" s="1"/>
  <c r="J51" i="5" s="1"/>
  <c r="F51" i="5"/>
  <c r="L50" i="5"/>
  <c r="M50" i="5" s="1"/>
  <c r="H50" i="5"/>
  <c r="I50" i="5" s="1"/>
  <c r="J50" i="5" s="1"/>
  <c r="F50" i="5"/>
  <c r="A50" i="5"/>
  <c r="A51" i="5" s="1"/>
  <c r="A52" i="5" s="1"/>
  <c r="A53" i="5" s="1"/>
  <c r="A54" i="5" s="1"/>
  <c r="L49" i="5"/>
  <c r="M49" i="5" s="1"/>
  <c r="I49" i="5"/>
  <c r="J49" i="5" s="1"/>
  <c r="H49" i="5"/>
  <c r="F49" i="5"/>
  <c r="A49" i="5"/>
  <c r="M48" i="5"/>
  <c r="L48" i="5"/>
  <c r="I48" i="5"/>
  <c r="J48" i="5" s="1"/>
  <c r="F48" i="5"/>
  <c r="F55" i="5" s="1"/>
  <c r="A48" i="5"/>
  <c r="L45" i="5"/>
  <c r="M45" i="5" s="1"/>
  <c r="I45" i="5"/>
  <c r="J45" i="5" s="1"/>
  <c r="H45" i="5"/>
  <c r="F45" i="5"/>
  <c r="H44" i="5"/>
  <c r="F44" i="5"/>
  <c r="L43" i="5"/>
  <c r="M43" i="5" s="1"/>
  <c r="H43" i="5"/>
  <c r="I43" i="5" s="1"/>
  <c r="J43" i="5" s="1"/>
  <c r="F43" i="5"/>
  <c r="F46" i="5" s="1"/>
  <c r="L42" i="5"/>
  <c r="M42" i="5" s="1"/>
  <c r="J42" i="5"/>
  <c r="H42" i="5"/>
  <c r="I42" i="5" s="1"/>
  <c r="F42" i="5"/>
  <c r="A42" i="5"/>
  <c r="A43" i="5" s="1"/>
  <c r="A44" i="5" s="1"/>
  <c r="A45" i="5" s="1"/>
  <c r="L41" i="5"/>
  <c r="M41" i="5" s="1"/>
  <c r="I41" i="5"/>
  <c r="J41" i="5" s="1"/>
  <c r="H41" i="5"/>
  <c r="F41" i="5"/>
  <c r="A41" i="5"/>
  <c r="H38" i="5"/>
  <c r="F38" i="5"/>
  <c r="L37" i="5"/>
  <c r="M37" i="5" s="1"/>
  <c r="H37" i="5"/>
  <c r="I37" i="5" s="1"/>
  <c r="J37" i="5" s="1"/>
  <c r="F37" i="5"/>
  <c r="L36" i="5"/>
  <c r="M36" i="5" s="1"/>
  <c r="H36" i="5"/>
  <c r="I36" i="5" s="1"/>
  <c r="J36" i="5" s="1"/>
  <c r="F36" i="5"/>
  <c r="A36" i="5"/>
  <c r="A37" i="5" s="1"/>
  <c r="A38" i="5" s="1"/>
  <c r="A39" i="5" s="1"/>
  <c r="L35" i="5"/>
  <c r="M35" i="5" s="1"/>
  <c r="I35" i="5"/>
  <c r="J35" i="5" s="1"/>
  <c r="H35" i="5"/>
  <c r="F35" i="5"/>
  <c r="A35" i="5"/>
  <c r="H34" i="5"/>
  <c r="F34" i="5"/>
  <c r="A34" i="5"/>
  <c r="L31" i="5"/>
  <c r="M31" i="5" s="1"/>
  <c r="K31" i="5"/>
  <c r="H31" i="5"/>
  <c r="I31" i="5" s="1"/>
  <c r="J31" i="5" s="1"/>
  <c r="F31" i="5"/>
  <c r="L30" i="5"/>
  <c r="M30" i="5" s="1"/>
  <c r="K30" i="5"/>
  <c r="H30" i="5"/>
  <c r="I30" i="5" s="1"/>
  <c r="J30" i="5" s="1"/>
  <c r="F30" i="5"/>
  <c r="L29" i="5"/>
  <c r="M29" i="5" s="1"/>
  <c r="K29" i="5"/>
  <c r="H29" i="5"/>
  <c r="I29" i="5" s="1"/>
  <c r="J29" i="5" s="1"/>
  <c r="F29" i="5"/>
  <c r="L28" i="5"/>
  <c r="M28" i="5" s="1"/>
  <c r="K28" i="5"/>
  <c r="K32" i="5" s="1"/>
  <c r="H28" i="5"/>
  <c r="I28" i="5" s="1"/>
  <c r="J28" i="5" s="1"/>
  <c r="F28" i="5"/>
  <c r="F32" i="5" s="1"/>
  <c r="A28" i="5"/>
  <c r="A29" i="5" s="1"/>
  <c r="A30" i="5" s="1"/>
  <c r="A31" i="5" s="1"/>
  <c r="K24" i="5"/>
  <c r="K25" i="5" s="1"/>
  <c r="H24" i="5"/>
  <c r="I24" i="5" s="1"/>
  <c r="J24" i="5" s="1"/>
  <c r="F24" i="5"/>
  <c r="F25" i="5" s="1"/>
  <c r="A24" i="5"/>
  <c r="L21" i="5"/>
  <c r="M21" i="5" s="1"/>
  <c r="K21" i="5"/>
  <c r="K22" i="5" s="1"/>
  <c r="H21" i="5"/>
  <c r="I21" i="5" s="1"/>
  <c r="J21" i="5" s="1"/>
  <c r="F21" i="5"/>
  <c r="F22" i="5" s="1"/>
  <c r="A21" i="5"/>
  <c r="L19" i="5"/>
  <c r="L18" i="5"/>
  <c r="M18" i="5" s="1"/>
  <c r="K18" i="5"/>
  <c r="K19" i="5" s="1"/>
  <c r="I18" i="5"/>
  <c r="J18" i="5" s="1"/>
  <c r="F18" i="5"/>
  <c r="F19" i="5" s="1"/>
  <c r="A18" i="5"/>
  <c r="F16" i="5"/>
  <c r="L15" i="5"/>
  <c r="K15" i="5"/>
  <c r="M15" i="5" s="1"/>
  <c r="I15" i="5"/>
  <c r="J15" i="5" s="1"/>
  <c r="F15" i="5"/>
  <c r="A15" i="5"/>
  <c r="A16" i="5" s="1"/>
  <c r="L14" i="5"/>
  <c r="K14" i="5"/>
  <c r="M14" i="5" s="1"/>
  <c r="J14" i="5"/>
  <c r="I14" i="5"/>
  <c r="F14" i="5"/>
  <c r="M13" i="5"/>
  <c r="L13" i="5"/>
  <c r="K13" i="5"/>
  <c r="I13" i="5"/>
  <c r="J13" i="5" s="1"/>
  <c r="F13" i="5"/>
  <c r="K12" i="5"/>
  <c r="I12" i="5"/>
  <c r="J12" i="5" s="1"/>
  <c r="F12" i="5"/>
  <c r="A12" i="5"/>
  <c r="A13" i="5" s="1"/>
  <c r="A14" i="5" s="1"/>
  <c r="L62" i="7" l="1"/>
  <c r="I62" i="7"/>
  <c r="J62" i="7" s="1"/>
  <c r="L136" i="7"/>
  <c r="M136" i="7" s="1"/>
  <c r="K202" i="7"/>
  <c r="M202" i="7" s="1"/>
  <c r="F29" i="7"/>
  <c r="F12" i="7" s="1"/>
  <c r="K29" i="7"/>
  <c r="L67" i="7"/>
  <c r="M67" i="7" s="1"/>
  <c r="I67" i="7"/>
  <c r="J67" i="7" s="1"/>
  <c r="L77" i="7"/>
  <c r="M77" i="7" s="1"/>
  <c r="M71" i="7"/>
  <c r="F108" i="7"/>
  <c r="M159" i="7"/>
  <c r="L166" i="7"/>
  <c r="M166" i="7" s="1"/>
  <c r="M15" i="7"/>
  <c r="K19" i="7"/>
  <c r="M19" i="7" s="1"/>
  <c r="M29" i="7"/>
  <c r="L32" i="7"/>
  <c r="L33" i="7" s="1"/>
  <c r="F32" i="7"/>
  <c r="F33" i="7" s="1"/>
  <c r="K32" i="7"/>
  <c r="L19" i="7"/>
  <c r="M14" i="7"/>
  <c r="M35" i="7"/>
  <c r="K36" i="7"/>
  <c r="M36" i="7" s="1"/>
  <c r="M60" i="7"/>
  <c r="I66" i="7"/>
  <c r="J66" i="7" s="1"/>
  <c r="L66" i="7"/>
  <c r="L145" i="7"/>
  <c r="M145" i="7" s="1"/>
  <c r="M138" i="7"/>
  <c r="M21" i="7"/>
  <c r="K45" i="7"/>
  <c r="M41" i="7"/>
  <c r="M47" i="7"/>
  <c r="F55" i="7"/>
  <c r="K55" i="7"/>
  <c r="M55" i="7" s="1"/>
  <c r="K69" i="7"/>
  <c r="F127" i="7"/>
  <c r="F192" i="7"/>
  <c r="K192" i="7"/>
  <c r="M192" i="7" s="1"/>
  <c r="F202" i="7"/>
  <c r="F207" i="7"/>
  <c r="M207" i="7"/>
  <c r="M206" i="7"/>
  <c r="M66" i="7"/>
  <c r="L45" i="7"/>
  <c r="L47" i="7"/>
  <c r="L48" i="7" s="1"/>
  <c r="M48" i="7" s="1"/>
  <c r="F47" i="7"/>
  <c r="F48" i="7" s="1"/>
  <c r="F49" i="7" s="1"/>
  <c r="M149" i="7"/>
  <c r="L156" i="7"/>
  <c r="M156" i="7" s="1"/>
  <c r="L186" i="7"/>
  <c r="K197" i="7"/>
  <c r="M197" i="7" s="1"/>
  <c r="L34" i="5"/>
  <c r="I34" i="5"/>
  <c r="J34" i="5" s="1"/>
  <c r="M12" i="5"/>
  <c r="K16" i="5"/>
  <c r="M16" i="5" s="1"/>
  <c r="M19" i="5"/>
  <c r="L22" i="5"/>
  <c r="L32" i="5"/>
  <c r="L44" i="5"/>
  <c r="M44" i="5" s="1"/>
  <c r="I44" i="5"/>
  <c r="J44" i="5" s="1"/>
  <c r="F73" i="5"/>
  <c r="L38" i="5"/>
  <c r="M38" i="5" s="1"/>
  <c r="I38" i="5"/>
  <c r="J38" i="5" s="1"/>
  <c r="L24" i="5"/>
  <c r="M22" i="5"/>
  <c r="M32" i="5"/>
  <c r="F39" i="5"/>
  <c r="L55" i="5"/>
  <c r="M52" i="5" s="1"/>
  <c r="F64" i="5"/>
  <c r="L73" i="5"/>
  <c r="L46" i="5"/>
  <c r="M46" i="5" s="1"/>
  <c r="F208" i="7" l="1"/>
  <c r="F239" i="7" s="1"/>
  <c r="M45" i="7"/>
  <c r="L69" i="7"/>
  <c r="L208" i="7" s="1"/>
  <c r="J239" i="7" s="1"/>
  <c r="M62" i="7"/>
  <c r="M69" i="7" s="1"/>
  <c r="M186" i="7"/>
  <c r="M32" i="7"/>
  <c r="K33" i="7"/>
  <c r="M33" i="7" s="1"/>
  <c r="F74" i="5"/>
  <c r="E89" i="5" s="1"/>
  <c r="M24" i="5"/>
  <c r="L25" i="5"/>
  <c r="M25" i="5" s="1"/>
  <c r="L39" i="5"/>
  <c r="M39" i="5" s="1"/>
  <c r="M34" i="5"/>
  <c r="M70" i="5"/>
  <c r="K74" i="5"/>
  <c r="J249" i="7" l="1"/>
  <c r="J246" i="7"/>
  <c r="J242" i="7"/>
  <c r="J250" i="7" s="1"/>
  <c r="J255" i="7" s="1"/>
  <c r="J245" i="7"/>
  <c r="J247" i="7"/>
  <c r="J243" i="7"/>
  <c r="J244" i="7" s="1"/>
  <c r="K208" i="7"/>
  <c r="F248" i="7"/>
  <c r="F247" i="7"/>
  <c r="F246" i="7"/>
  <c r="F245" i="7"/>
  <c r="F243" i="7"/>
  <c r="F244" i="7" s="1"/>
  <c r="F242" i="7"/>
  <c r="F249" i="7"/>
  <c r="H89" i="5"/>
  <c r="L74" i="5"/>
  <c r="J89" i="5" s="1"/>
  <c r="E99" i="5"/>
  <c r="E98" i="5"/>
  <c r="E97" i="5"/>
  <c r="E96" i="5"/>
  <c r="E94" i="5"/>
  <c r="E95" i="5" s="1"/>
  <c r="E93" i="5"/>
  <c r="J260" i="7" l="1"/>
  <c r="J262" i="7"/>
  <c r="M208" i="7"/>
  <c r="H239" i="7"/>
  <c r="F250" i="7"/>
  <c r="F255" i="7" s="1"/>
  <c r="J99" i="5"/>
  <c r="J98" i="5"/>
  <c r="J96" i="5"/>
  <c r="J93" i="5"/>
  <c r="J101" i="5" s="1"/>
  <c r="J103" i="5" s="1"/>
  <c r="J114" i="5" s="1"/>
  <c r="J97" i="5"/>
  <c r="J94" i="5"/>
  <c r="J95" i="5" s="1"/>
  <c r="H98" i="5"/>
  <c r="L98" i="5" s="1"/>
  <c r="H96" i="5"/>
  <c r="L96" i="5" s="1"/>
  <c r="H94" i="5"/>
  <c r="L89" i="5"/>
  <c r="H99" i="5"/>
  <c r="L99" i="5" s="1"/>
  <c r="H97" i="5"/>
  <c r="L97" i="5" s="1"/>
  <c r="H93" i="5"/>
  <c r="E101" i="5"/>
  <c r="E103" i="5" s="1"/>
  <c r="M74" i="5"/>
  <c r="L239" i="7" l="1"/>
  <c r="H249" i="7"/>
  <c r="L249" i="7" s="1"/>
  <c r="H246" i="7"/>
  <c r="L246" i="7" s="1"/>
  <c r="H242" i="7"/>
  <c r="H243" i="7"/>
  <c r="H247" i="7"/>
  <c r="L247" i="7" s="1"/>
  <c r="H245" i="7"/>
  <c r="L245" i="7" s="1"/>
  <c r="L93" i="5"/>
  <c r="L94" i="5"/>
  <c r="H95" i="5"/>
  <c r="L95" i="5" s="1"/>
  <c r="L243" i="7" l="1"/>
  <c r="H244" i="7"/>
  <c r="L244" i="7" s="1"/>
  <c r="H250" i="7"/>
  <c r="L242" i="7"/>
  <c r="H101" i="5"/>
  <c r="L250" i="7" l="1"/>
  <c r="H255" i="7"/>
  <c r="H103" i="5"/>
  <c r="L101" i="5"/>
  <c r="H260" i="7" l="1"/>
  <c r="L260" i="7" s="1"/>
  <c r="H262" i="7"/>
  <c r="L262" i="7" s="1"/>
  <c r="L255" i="7"/>
  <c r="E263" i="7" s="1"/>
  <c r="L103" i="5"/>
  <c r="N104" i="5" s="1"/>
  <c r="H114" i="5"/>
  <c r="L114" i="5" s="1"/>
  <c r="M211" i="2" l="1"/>
  <c r="F169" i="2"/>
  <c r="F168" i="2"/>
  <c r="F170" i="2" s="1"/>
  <c r="A168" i="2"/>
  <c r="A169" i="2" s="1"/>
  <c r="M165" i="2"/>
  <c r="L165" i="2"/>
  <c r="I165" i="2"/>
  <c r="J165" i="2" s="1"/>
  <c r="H165" i="2"/>
  <c r="F165" i="2"/>
  <c r="H164" i="2"/>
  <c r="F164" i="2"/>
  <c r="L163" i="2"/>
  <c r="M163" i="2" s="1"/>
  <c r="J163" i="2"/>
  <c r="I163" i="2"/>
  <c r="H163" i="2"/>
  <c r="F163" i="2"/>
  <c r="H162" i="2"/>
  <c r="F162" i="2"/>
  <c r="L161" i="2"/>
  <c r="M161" i="2" s="1"/>
  <c r="H161" i="2"/>
  <c r="I161" i="2" s="1"/>
  <c r="J161" i="2" s="1"/>
  <c r="F161" i="2"/>
  <c r="M160" i="2"/>
  <c r="L160" i="2"/>
  <c r="J160" i="2"/>
  <c r="H160" i="2"/>
  <c r="I160" i="2" s="1"/>
  <c r="F160" i="2"/>
  <c r="L159" i="2"/>
  <c r="M159" i="2" s="1"/>
  <c r="I159" i="2"/>
  <c r="J159" i="2" s="1"/>
  <c r="H159" i="2"/>
  <c r="F159" i="2"/>
  <c r="M158" i="2"/>
  <c r="I158" i="2"/>
  <c r="J158" i="2" s="1"/>
  <c r="H158" i="2"/>
  <c r="L158" i="2" s="1"/>
  <c r="F158" i="2"/>
  <c r="I157" i="2"/>
  <c r="J157" i="2" s="1"/>
  <c r="H157" i="2"/>
  <c r="L157" i="2" s="1"/>
  <c r="M157" i="2" s="1"/>
  <c r="F157" i="2"/>
  <c r="L156" i="2"/>
  <c r="M156" i="2" s="1"/>
  <c r="H156" i="2"/>
  <c r="I156" i="2" s="1"/>
  <c r="J156" i="2" s="1"/>
  <c r="F156" i="2"/>
  <c r="L155" i="2"/>
  <c r="M155" i="2" s="1"/>
  <c r="J155" i="2"/>
  <c r="I155" i="2"/>
  <c r="H155" i="2"/>
  <c r="F155" i="2"/>
  <c r="H154" i="2"/>
  <c r="L154" i="2" s="1"/>
  <c r="M154" i="2" s="1"/>
  <c r="F154" i="2"/>
  <c r="A154" i="2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H153" i="2"/>
  <c r="F153" i="2"/>
  <c r="F166" i="2" s="1"/>
  <c r="A153" i="2"/>
  <c r="F150" i="2"/>
  <c r="F149" i="2"/>
  <c r="F148" i="2"/>
  <c r="F147" i="2"/>
  <c r="F146" i="2"/>
  <c r="F151" i="2" s="1"/>
  <c r="A146" i="2"/>
  <c r="A147" i="2" s="1"/>
  <c r="A148" i="2" s="1"/>
  <c r="A149" i="2" s="1"/>
  <c r="A150" i="2" s="1"/>
  <c r="F144" i="2"/>
  <c r="M143" i="2"/>
  <c r="J143" i="2"/>
  <c r="I143" i="2"/>
  <c r="H143" i="2"/>
  <c r="L143" i="2" s="1"/>
  <c r="L144" i="2" s="1"/>
  <c r="M144" i="2" s="1"/>
  <c r="F143" i="2"/>
  <c r="A143" i="2"/>
  <c r="M140" i="2"/>
  <c r="L140" i="2"/>
  <c r="H140" i="2"/>
  <c r="I140" i="2" s="1"/>
  <c r="J140" i="2" s="1"/>
  <c r="F140" i="2"/>
  <c r="L139" i="2"/>
  <c r="M139" i="2" s="1"/>
  <c r="I139" i="2"/>
  <c r="J139" i="2" s="1"/>
  <c r="H139" i="2"/>
  <c r="F139" i="2"/>
  <c r="M138" i="2"/>
  <c r="J138" i="2"/>
  <c r="I138" i="2"/>
  <c r="H138" i="2"/>
  <c r="L138" i="2" s="1"/>
  <c r="F138" i="2"/>
  <c r="A138" i="2"/>
  <c r="A139" i="2" s="1"/>
  <c r="A140" i="2" s="1"/>
  <c r="I137" i="2"/>
  <c r="J137" i="2" s="1"/>
  <c r="H137" i="2"/>
  <c r="L137" i="2" s="1"/>
  <c r="F137" i="2"/>
  <c r="A137" i="2"/>
  <c r="L134" i="2"/>
  <c r="M134" i="2" s="1"/>
  <c r="J134" i="2"/>
  <c r="I134" i="2"/>
  <c r="H134" i="2"/>
  <c r="F134" i="2"/>
  <c r="F135" i="2" s="1"/>
  <c r="A134" i="2"/>
  <c r="H133" i="2"/>
  <c r="F133" i="2"/>
  <c r="A133" i="2"/>
  <c r="F129" i="2"/>
  <c r="F128" i="2"/>
  <c r="F127" i="2"/>
  <c r="F126" i="2"/>
  <c r="L125" i="2"/>
  <c r="J125" i="2"/>
  <c r="I125" i="2"/>
  <c r="F125" i="2"/>
  <c r="A125" i="2"/>
  <c r="A126" i="2" s="1"/>
  <c r="A127" i="2" s="1"/>
  <c r="A128" i="2" s="1"/>
  <c r="F122" i="2"/>
  <c r="F121" i="2"/>
  <c r="F120" i="2"/>
  <c r="F119" i="2"/>
  <c r="M118" i="2"/>
  <c r="L118" i="2"/>
  <c r="I118" i="2"/>
  <c r="J118" i="2" s="1"/>
  <c r="H118" i="2"/>
  <c r="F118" i="2"/>
  <c r="H117" i="2"/>
  <c r="F117" i="2"/>
  <c r="L116" i="2"/>
  <c r="M116" i="2" s="1"/>
  <c r="J116" i="2"/>
  <c r="I116" i="2"/>
  <c r="H116" i="2"/>
  <c r="F116" i="2"/>
  <c r="H115" i="2"/>
  <c r="F115" i="2"/>
  <c r="L114" i="2"/>
  <c r="M114" i="2" s="1"/>
  <c r="I114" i="2"/>
  <c r="J114" i="2" s="1"/>
  <c r="H114" i="2"/>
  <c r="F114" i="2"/>
  <c r="M113" i="2"/>
  <c r="L113" i="2"/>
  <c r="H113" i="2"/>
  <c r="I113" i="2" s="1"/>
  <c r="J113" i="2" s="1"/>
  <c r="F113" i="2"/>
  <c r="L112" i="2"/>
  <c r="M112" i="2" s="1"/>
  <c r="I112" i="2"/>
  <c r="J112" i="2" s="1"/>
  <c r="H112" i="2"/>
  <c r="F112" i="2"/>
  <c r="M111" i="2"/>
  <c r="H111" i="2"/>
  <c r="L111" i="2" s="1"/>
  <c r="F111" i="2"/>
  <c r="I110" i="2"/>
  <c r="J110" i="2" s="1"/>
  <c r="H110" i="2"/>
  <c r="L110" i="2" s="1"/>
  <c r="M110" i="2" s="1"/>
  <c r="F110" i="2"/>
  <c r="L109" i="2"/>
  <c r="M109" i="2" s="1"/>
  <c r="J109" i="2"/>
  <c r="H109" i="2"/>
  <c r="I109" i="2" s="1"/>
  <c r="F109" i="2"/>
  <c r="L108" i="2"/>
  <c r="M108" i="2" s="1"/>
  <c r="I108" i="2"/>
  <c r="J108" i="2" s="1"/>
  <c r="H108" i="2"/>
  <c r="F108" i="2"/>
  <c r="J107" i="2"/>
  <c r="I107" i="2"/>
  <c r="H107" i="2"/>
  <c r="L107" i="2" s="1"/>
  <c r="M107" i="2" s="1"/>
  <c r="F107" i="2"/>
  <c r="A107" i="2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H106" i="2"/>
  <c r="F106" i="2"/>
  <c r="J105" i="2"/>
  <c r="H105" i="2"/>
  <c r="I105" i="2" s="1"/>
  <c r="F105" i="2"/>
  <c r="L104" i="2"/>
  <c r="J104" i="2"/>
  <c r="I104" i="2"/>
  <c r="H104" i="2"/>
  <c r="F104" i="2"/>
  <c r="A104" i="2"/>
  <c r="A105" i="2" s="1"/>
  <c r="A106" i="2" s="1"/>
  <c r="F102" i="2"/>
  <c r="F101" i="2"/>
  <c r="A101" i="2"/>
  <c r="M98" i="2"/>
  <c r="L98" i="2"/>
  <c r="L99" i="2" s="1"/>
  <c r="M99" i="2" s="1"/>
  <c r="K98" i="2"/>
  <c r="K99" i="2" s="1"/>
  <c r="I98" i="2"/>
  <c r="J98" i="2" s="1"/>
  <c r="F98" i="2"/>
  <c r="F99" i="2" s="1"/>
  <c r="A98" i="2"/>
  <c r="L96" i="2"/>
  <c r="L95" i="2"/>
  <c r="K95" i="2"/>
  <c r="I95" i="2"/>
  <c r="J95" i="2" s="1"/>
  <c r="F95" i="2"/>
  <c r="F96" i="2" s="1"/>
  <c r="A95" i="2"/>
  <c r="L93" i="2"/>
  <c r="L92" i="2"/>
  <c r="K92" i="2"/>
  <c r="M92" i="2" s="1"/>
  <c r="J92" i="2"/>
  <c r="I92" i="2"/>
  <c r="F92" i="2"/>
  <c r="M91" i="2"/>
  <c r="L91" i="2"/>
  <c r="K91" i="2"/>
  <c r="J91" i="2"/>
  <c r="I91" i="2"/>
  <c r="F91" i="2"/>
  <c r="M90" i="2"/>
  <c r="L90" i="2"/>
  <c r="K90" i="2"/>
  <c r="I90" i="2"/>
  <c r="J90" i="2" s="1"/>
  <c r="F90" i="2"/>
  <c r="L89" i="2"/>
  <c r="K89" i="2"/>
  <c r="I89" i="2"/>
  <c r="J89" i="2" s="1"/>
  <c r="F89" i="2"/>
  <c r="F93" i="2" s="1"/>
  <c r="A89" i="2"/>
  <c r="A90" i="2" s="1"/>
  <c r="A91" i="2" s="1"/>
  <c r="A92" i="2" s="1"/>
  <c r="L87" i="2"/>
  <c r="K87" i="2"/>
  <c r="F86" i="2"/>
  <c r="M85" i="2"/>
  <c r="L85" i="2"/>
  <c r="K85" i="2"/>
  <c r="I85" i="2"/>
  <c r="J85" i="2" s="1"/>
  <c r="F85" i="2"/>
  <c r="F87" i="2" s="1"/>
  <c r="M80" i="2"/>
  <c r="H80" i="2"/>
  <c r="L80" i="2" s="1"/>
  <c r="F80" i="2"/>
  <c r="I79" i="2"/>
  <c r="H79" i="2"/>
  <c r="L79" i="2" s="1"/>
  <c r="M79" i="2" s="1"/>
  <c r="F79" i="2"/>
  <c r="L78" i="2"/>
  <c r="M78" i="2" s="1"/>
  <c r="J78" i="2"/>
  <c r="H78" i="2"/>
  <c r="I78" i="2" s="1"/>
  <c r="F78" i="2"/>
  <c r="A78" i="2"/>
  <c r="A79" i="2" s="1"/>
  <c r="A80" i="2" s="1"/>
  <c r="L77" i="2"/>
  <c r="M77" i="2" s="1"/>
  <c r="I77" i="2"/>
  <c r="J77" i="2" s="1"/>
  <c r="H77" i="2"/>
  <c r="F77" i="2"/>
  <c r="M76" i="2"/>
  <c r="I76" i="2"/>
  <c r="J76" i="2" s="1"/>
  <c r="H76" i="2"/>
  <c r="L76" i="2" s="1"/>
  <c r="F76" i="2"/>
  <c r="A76" i="2"/>
  <c r="A77" i="2" s="1"/>
  <c r="H75" i="2"/>
  <c r="F75" i="2"/>
  <c r="F72" i="2"/>
  <c r="A72" i="2"/>
  <c r="F71" i="2"/>
  <c r="A71" i="2"/>
  <c r="F70" i="2"/>
  <c r="H67" i="2"/>
  <c r="F67" i="2"/>
  <c r="L66" i="2"/>
  <c r="M66" i="2" s="1"/>
  <c r="J66" i="2"/>
  <c r="I66" i="2"/>
  <c r="H66" i="2"/>
  <c r="F66" i="2"/>
  <c r="A66" i="2"/>
  <c r="A67" i="2" s="1"/>
  <c r="H65" i="2"/>
  <c r="F65" i="2"/>
  <c r="A65" i="2"/>
  <c r="L64" i="2"/>
  <c r="M64" i="2" s="1"/>
  <c r="I64" i="2"/>
  <c r="H64" i="2"/>
  <c r="F64" i="2"/>
  <c r="L61" i="2"/>
  <c r="M61" i="2" s="1"/>
  <c r="J61" i="2"/>
  <c r="I61" i="2"/>
  <c r="H61" i="2"/>
  <c r="F61" i="2"/>
  <c r="A61" i="2"/>
  <c r="H60" i="2"/>
  <c r="F60" i="2"/>
  <c r="A60" i="2"/>
  <c r="H59" i="2"/>
  <c r="F59" i="2"/>
  <c r="A59" i="2"/>
  <c r="L58" i="2"/>
  <c r="M58" i="2" s="1"/>
  <c r="J58" i="2"/>
  <c r="H58" i="2"/>
  <c r="I58" i="2" s="1"/>
  <c r="F58" i="2"/>
  <c r="F62" i="2" s="1"/>
  <c r="M55" i="2"/>
  <c r="L55" i="2"/>
  <c r="H55" i="2"/>
  <c r="F55" i="2"/>
  <c r="L54" i="2"/>
  <c r="M54" i="2" s="1"/>
  <c r="J54" i="2"/>
  <c r="H54" i="2"/>
  <c r="I54" i="2" s="1"/>
  <c r="F54" i="2"/>
  <c r="A54" i="2"/>
  <c r="A55" i="2" s="1"/>
  <c r="L53" i="2"/>
  <c r="M53" i="2" s="1"/>
  <c r="I53" i="2"/>
  <c r="J53" i="2" s="1"/>
  <c r="H53" i="2"/>
  <c r="F53" i="2"/>
  <c r="A53" i="2"/>
  <c r="I52" i="2"/>
  <c r="H52" i="2"/>
  <c r="F52" i="2"/>
  <c r="A52" i="2"/>
  <c r="M51" i="2"/>
  <c r="L51" i="2"/>
  <c r="H51" i="2"/>
  <c r="F51" i="2"/>
  <c r="F56" i="2" s="1"/>
  <c r="H48" i="2"/>
  <c r="F48" i="2"/>
  <c r="H47" i="2"/>
  <c r="F47" i="2"/>
  <c r="L46" i="2"/>
  <c r="M46" i="2" s="1"/>
  <c r="H46" i="2"/>
  <c r="I46" i="2" s="1"/>
  <c r="J46" i="2" s="1"/>
  <c r="F46" i="2"/>
  <c r="F49" i="2" s="1"/>
  <c r="A46" i="2"/>
  <c r="A47" i="2" s="1"/>
  <c r="A48" i="2" s="1"/>
  <c r="L45" i="2"/>
  <c r="M45" i="2" s="1"/>
  <c r="I45" i="2"/>
  <c r="J45" i="2" s="1"/>
  <c r="H45" i="2"/>
  <c r="F45" i="2"/>
  <c r="A45" i="2"/>
  <c r="I44" i="2"/>
  <c r="H44" i="2"/>
  <c r="F44" i="2"/>
  <c r="F41" i="2"/>
  <c r="F40" i="2"/>
  <c r="F39" i="2"/>
  <c r="A39" i="2"/>
  <c r="A40" i="2" s="1"/>
  <c r="A41" i="2" s="1"/>
  <c r="F38" i="2"/>
  <c r="F35" i="2"/>
  <c r="A35" i="2"/>
  <c r="F34" i="2"/>
  <c r="F33" i="2"/>
  <c r="F36" i="2" s="1"/>
  <c r="A33" i="2"/>
  <c r="A34" i="2" s="1"/>
  <c r="F32" i="2"/>
  <c r="A32" i="2"/>
  <c r="F28" i="2"/>
  <c r="F27" i="2"/>
  <c r="A27" i="2"/>
  <c r="A28" i="2" s="1"/>
  <c r="F26" i="2"/>
  <c r="F25" i="2"/>
  <c r="A25" i="2"/>
  <c r="A26" i="2" s="1"/>
  <c r="F24" i="2"/>
  <c r="F29" i="2" s="1"/>
  <c r="A24" i="2"/>
  <c r="F23" i="2"/>
  <c r="L20" i="2"/>
  <c r="M20" i="2" s="1"/>
  <c r="H20" i="2"/>
  <c r="I20" i="2" s="1"/>
  <c r="J20" i="2" s="1"/>
  <c r="F20" i="2"/>
  <c r="L19" i="2"/>
  <c r="M19" i="2" s="1"/>
  <c r="I19" i="2"/>
  <c r="J19" i="2" s="1"/>
  <c r="H19" i="2"/>
  <c r="F19" i="2"/>
  <c r="I18" i="2"/>
  <c r="H18" i="2"/>
  <c r="F18" i="2"/>
  <c r="M17" i="2"/>
  <c r="L17" i="2"/>
  <c r="H17" i="2"/>
  <c r="F17" i="2"/>
  <c r="L16" i="2"/>
  <c r="M16" i="2" s="1"/>
  <c r="J16" i="2"/>
  <c r="H16" i="2"/>
  <c r="I16" i="2" s="1"/>
  <c r="F16" i="2"/>
  <c r="A16" i="2"/>
  <c r="A17" i="2" s="1"/>
  <c r="A18" i="2" s="1"/>
  <c r="A19" i="2" s="1"/>
  <c r="A20" i="2" s="1"/>
  <c r="L15" i="2"/>
  <c r="M15" i="2" s="1"/>
  <c r="I15" i="2"/>
  <c r="J15" i="2" s="1"/>
  <c r="H15" i="2"/>
  <c r="F15" i="2"/>
  <c r="A15" i="2"/>
  <c r="I14" i="2"/>
  <c r="H14" i="2"/>
  <c r="F14" i="2"/>
  <c r="F11" i="2"/>
  <c r="F12" i="2" s="1"/>
  <c r="M5" i="2"/>
  <c r="I59" i="2" l="1"/>
  <c r="J59" i="2" s="1"/>
  <c r="J75" i="2"/>
  <c r="L75" i="2"/>
  <c r="I75" i="2"/>
  <c r="L153" i="2"/>
  <c r="I153" i="2"/>
  <c r="J153" i="2" s="1"/>
  <c r="F42" i="2"/>
  <c r="I47" i="2"/>
  <c r="J47" i="2" s="1"/>
  <c r="L48" i="2"/>
  <c r="M48" i="2" s="1"/>
  <c r="J48" i="2"/>
  <c r="L59" i="2"/>
  <c r="L60" i="2"/>
  <c r="M60" i="2" s="1"/>
  <c r="K96" i="2"/>
  <c r="M95" i="2"/>
  <c r="L115" i="2"/>
  <c r="M115" i="2" s="1"/>
  <c r="I115" i="2"/>
  <c r="J115" i="2" s="1"/>
  <c r="I117" i="2"/>
  <c r="J117" i="2" s="1"/>
  <c r="L117" i="2"/>
  <c r="M117" i="2" s="1"/>
  <c r="M137" i="2"/>
  <c r="L141" i="2"/>
  <c r="M141" i="2" s="1"/>
  <c r="F21" i="2"/>
  <c r="I17" i="2"/>
  <c r="J17" i="2" s="1"/>
  <c r="L18" i="2"/>
  <c r="M18" i="2" s="1"/>
  <c r="J18" i="2"/>
  <c r="L44" i="2"/>
  <c r="J44" i="2"/>
  <c r="L47" i="2"/>
  <c r="M47" i="2" s="1"/>
  <c r="I48" i="2"/>
  <c r="I51" i="2"/>
  <c r="J51" i="2" s="1"/>
  <c r="J55" i="2"/>
  <c r="I55" i="2"/>
  <c r="I60" i="2"/>
  <c r="J60" i="2" s="1"/>
  <c r="L65" i="2"/>
  <c r="M65" i="2" s="1"/>
  <c r="J65" i="2"/>
  <c r="I65" i="2"/>
  <c r="K93" i="2"/>
  <c r="M93" i="2" s="1"/>
  <c r="M89" i="2"/>
  <c r="F123" i="2"/>
  <c r="M104" i="2"/>
  <c r="L162" i="2"/>
  <c r="M162" i="2" s="1"/>
  <c r="I162" i="2"/>
  <c r="J162" i="2" s="1"/>
  <c r="I164" i="2"/>
  <c r="J164" i="2" s="1"/>
  <c r="L164" i="2"/>
  <c r="M164" i="2" s="1"/>
  <c r="L14" i="2"/>
  <c r="J14" i="2"/>
  <c r="L52" i="2"/>
  <c r="M52" i="2" s="1"/>
  <c r="J52" i="2"/>
  <c r="I67" i="2"/>
  <c r="L67" i="2"/>
  <c r="M67" i="2" s="1"/>
  <c r="J67" i="2"/>
  <c r="F81" i="2"/>
  <c r="F82" i="2" s="1"/>
  <c r="L106" i="2"/>
  <c r="M106" i="2" s="1"/>
  <c r="I106" i="2"/>
  <c r="J106" i="2" s="1"/>
  <c r="L129" i="2"/>
  <c r="M129" i="2" s="1"/>
  <c r="M125" i="2"/>
  <c r="F130" i="2"/>
  <c r="L133" i="2"/>
  <c r="I133" i="2"/>
  <c r="J133" i="2" s="1"/>
  <c r="F68" i="2"/>
  <c r="L105" i="2"/>
  <c r="M105" i="2" s="1"/>
  <c r="J64" i="2"/>
  <c r="F73" i="2"/>
  <c r="I80" i="2"/>
  <c r="J80" i="2" s="1"/>
  <c r="I111" i="2"/>
  <c r="J111" i="2" s="1"/>
  <c r="F141" i="2"/>
  <c r="F171" i="2" s="1"/>
  <c r="F172" i="2" s="1"/>
  <c r="D216" i="2" s="1"/>
  <c r="J79" i="2"/>
  <c r="M87" i="2"/>
  <c r="I154" i="2"/>
  <c r="J154" i="2" s="1"/>
  <c r="D223" i="2" l="1"/>
  <c r="D219" i="2"/>
  <c r="D224" i="2"/>
  <c r="D220" i="2"/>
  <c r="D221" i="2" s="1"/>
  <c r="D222" i="2"/>
  <c r="D225" i="2"/>
  <c r="L21" i="2"/>
  <c r="M21" i="2" s="1"/>
  <c r="M14" i="2"/>
  <c r="L123" i="2"/>
  <c r="M123" i="2" s="1"/>
  <c r="L49" i="2"/>
  <c r="M49" i="2" s="1"/>
  <c r="M44" i="2"/>
  <c r="L81" i="2"/>
  <c r="M81" i="2" s="1"/>
  <c r="M75" i="2"/>
  <c r="L135" i="2"/>
  <c r="M135" i="2" s="1"/>
  <c r="M133" i="2"/>
  <c r="L56" i="2"/>
  <c r="M56" i="2" s="1"/>
  <c r="L166" i="2"/>
  <c r="M153" i="2"/>
  <c r="L68" i="2"/>
  <c r="M68" i="2" s="1"/>
  <c r="M96" i="2"/>
  <c r="K172" i="2"/>
  <c r="L62" i="2"/>
  <c r="M62" i="2" s="1"/>
  <c r="M59" i="2"/>
  <c r="H216" i="2" l="1"/>
  <c r="M166" i="2"/>
  <c r="L172" i="2"/>
  <c r="J216" i="2" s="1"/>
  <c r="D227" i="2"/>
  <c r="D229" i="2" s="1"/>
  <c r="J225" i="2" l="1"/>
  <c r="J222" i="2"/>
  <c r="J224" i="2"/>
  <c r="J220" i="2"/>
  <c r="J221" i="2" s="1"/>
  <c r="J223" i="2"/>
  <c r="J219" i="2"/>
  <c r="L216" i="2"/>
  <c r="H224" i="2"/>
  <c r="H220" i="2"/>
  <c r="H225" i="2"/>
  <c r="L225" i="2" s="1"/>
  <c r="H219" i="2"/>
  <c r="H222" i="2"/>
  <c r="H223" i="2"/>
  <c r="L223" i="2" s="1"/>
  <c r="M172" i="2"/>
  <c r="L220" i="2" l="1"/>
  <c r="H221" i="2"/>
  <c r="L221" i="2" s="1"/>
  <c r="J227" i="2"/>
  <c r="J231" i="2" s="1"/>
  <c r="L222" i="2"/>
  <c r="L224" i="2"/>
  <c r="H227" i="2"/>
  <c r="L219" i="2"/>
  <c r="L227" i="2" l="1"/>
  <c r="H231" i="2"/>
  <c r="J233" i="2"/>
  <c r="J236" i="2"/>
  <c r="H233" i="2" l="1"/>
  <c r="L233" i="2" s="1"/>
  <c r="H236" i="2"/>
  <c r="L236" i="2" s="1"/>
  <c r="L231" i="2"/>
</calcChain>
</file>

<file path=xl/sharedStrings.xml><?xml version="1.0" encoding="utf-8"?>
<sst xmlns="http://schemas.openxmlformats.org/spreadsheetml/2006/main" count="936" uniqueCount="378">
  <si>
    <t>CORPORACION DE ACUEDUCTOS Y ALCANTARILLADOS DE PUERTO PLATA</t>
  </si>
  <si>
    <t>"CORAAPPLATA"</t>
  </si>
  <si>
    <t>OBRAS:</t>
  </si>
  <si>
    <t>AMPLIACIÓN ACUEDUCTOS CAMÚ, LOS DOMINGUEZ, ALTOS DE
CHAVÓN Y LOS PALOMOS</t>
  </si>
  <si>
    <t>MONTO  CONTRATADO:</t>
  </si>
  <si>
    <t>CUBICACION NO.:</t>
  </si>
  <si>
    <t>MONTO AVANCE:</t>
  </si>
  <si>
    <t>FECHA DE REALIZACION:</t>
  </si>
  <si>
    <t>7 DE OCTUBRE , 2024</t>
  </si>
  <si>
    <t>NO. CONTRATO:</t>
  </si>
  <si>
    <t>004/2022</t>
  </si>
  <si>
    <t>CONTRATISTA:</t>
  </si>
  <si>
    <t>NAHBERT S.R.L</t>
  </si>
  <si>
    <t xml:space="preserve">  </t>
  </si>
  <si>
    <t>CANTIDADES</t>
  </si>
  <si>
    <t>COSTOS RD$</t>
  </si>
  <si>
    <t>CODIGO</t>
  </si>
  <si>
    <t>DESCRIPCION</t>
  </si>
  <si>
    <t>UND.</t>
  </si>
  <si>
    <t>PRESUPUESTO</t>
  </si>
  <si>
    <t>P. U. RD$</t>
  </si>
  <si>
    <t>TOTAL</t>
  </si>
  <si>
    <t>ANTERIOR</t>
  </si>
  <si>
    <t>PRESENTE</t>
  </si>
  <si>
    <t>ACUMULADO</t>
  </si>
  <si>
    <t>%</t>
  </si>
  <si>
    <t>PRELIMINARES</t>
  </si>
  <si>
    <t>INGENIERIA Y CAMPAMENTO</t>
  </si>
  <si>
    <t>KM</t>
  </si>
  <si>
    <t>SUBTOTAL</t>
  </si>
  <si>
    <t>B</t>
  </si>
  <si>
    <t>REHABILITACION DE ESTRUCTURAS EXISTENTES</t>
  </si>
  <si>
    <t>DESAGUE DE 4'' EN ACERO HN EN CANAL</t>
  </si>
  <si>
    <t>ML</t>
  </si>
  <si>
    <t>PAÑETE EN SOPORTES DE CONCRETO</t>
  </si>
  <si>
    <t>M2</t>
  </si>
  <si>
    <t>PAÑETE EN SEPARADORES DE SOPORTES</t>
  </si>
  <si>
    <t>ARENA FINA DEL LECHO FILTRANTE</t>
  </si>
  <si>
    <t>M3</t>
  </si>
  <si>
    <t>ARENA GRUESA DEL LECHO FILTRANTE</t>
  </si>
  <si>
    <t>GRAVA DEL LECHO FILTRANTE</t>
  </si>
  <si>
    <t>AGREGADO GRUESO DEL LECHO FILTRANTE</t>
  </si>
  <si>
    <t>C</t>
  </si>
  <si>
    <t>SUMINISTRO Y COLOCACION DE ACCESORIOS </t>
  </si>
  <si>
    <t>ESCALERA VERTICAL HIERRO 2 M DE H</t>
  </si>
  <si>
    <t>UD</t>
  </si>
  <si>
    <t>ESCALERA VERTICAL ACERO INOXIDABLE 3M DE H</t>
  </si>
  <si>
    <t xml:space="preserve">TAPA RECTANGULAR EN ACERO INOXIDABLE  1M X 1M </t>
  </si>
  <si>
    <t>TUBO DE 6'' DE ACERO HN</t>
  </si>
  <si>
    <t>PORTAL DE HIERRO 4 M X 2 M (2 HOJAS)</t>
  </si>
  <si>
    <t xml:space="preserve">PUERTA DE MADERA 2.10 M X 0.90 M </t>
  </si>
  <si>
    <t>D</t>
  </si>
  <si>
    <t>VALVULAS VASTAGO FIJO (SUMINISTRO Y COLOCACION) </t>
  </si>
  <si>
    <t>VALVULA VASTAGO FIJO 6''</t>
  </si>
  <si>
    <t>SUMINISTRO DE VALVULA DE 6"</t>
  </si>
  <si>
    <t>INSTALACION</t>
  </si>
  <si>
    <t>ABRAZADERA</t>
  </si>
  <si>
    <t>NIPPLE DE 6"</t>
  </si>
  <si>
    <t>E</t>
  </si>
  <si>
    <t>VALVULAS VASTAGO FIJO 4''</t>
  </si>
  <si>
    <t>SUMINISTRO DE VALVULA DE 4"</t>
  </si>
  <si>
    <t>NIPPLE DE 4"</t>
  </si>
  <si>
    <t>F</t>
  </si>
  <si>
    <t>SUMINISTRO Y APLICACION DE PINTURA </t>
  </si>
  <si>
    <t>PINTURA EPOXICA EN LECHO FILTRANTE</t>
  </si>
  <si>
    <t>PINTURA EPOXICA EN SEDIMENTADOR</t>
  </si>
  <si>
    <t>PINTURA ACRILICA EN CASETA DE CLORACION</t>
  </si>
  <si>
    <t>PINTURA ACRILICA EN EXTERIOR DE TANQUE Y SOPORTES</t>
  </si>
  <si>
    <t>PINTURA ACRILICA EN VERJA PERIMETRAL</t>
  </si>
  <si>
    <t>G</t>
  </si>
  <si>
    <t>CONSTRUCCION DE VERJA PERIMETRAL</t>
  </si>
  <si>
    <t>MUROS</t>
  </si>
  <si>
    <t>ZAPATA DE MURO</t>
  </si>
  <si>
    <t>EXCAVACIÓN ZAPATA DE MURO</t>
  </si>
  <si>
    <t>BOTE</t>
  </si>
  <si>
    <t>PAÑETE</t>
  </si>
  <si>
    <t>H</t>
  </si>
  <si>
    <t>MISCELANEOS</t>
  </si>
  <si>
    <t>CAMINO DE ACCESO</t>
  </si>
  <si>
    <t>PA</t>
  </si>
  <si>
    <t>LIMPIEZA DE FILTROS</t>
  </si>
  <si>
    <t>LIMPIEZA Y BOTE DE ESCOMBROS EN LECHO FILTRANTE</t>
  </si>
  <si>
    <t>LIMPIEZA Y BOTE DE ESCOMBROS EN TANQUE RECEPTOR</t>
  </si>
  <si>
    <t>I</t>
  </si>
  <si>
    <t>RECONSTRUCCION DE LOSA DEL TANQUE </t>
  </si>
  <si>
    <t>DEMOLICION</t>
  </si>
  <si>
    <t>CONSTRUCCION DE LOSA</t>
  </si>
  <si>
    <t>FINO DE LOSA</t>
  </si>
  <si>
    <t>J</t>
  </si>
  <si>
    <t>REPOSICION DE ACERA EN PERIMETRO (0.10M DE ESPESOR) </t>
  </si>
  <si>
    <t>CONSTRUCCION DE ACERA</t>
  </si>
  <si>
    <t>K</t>
  </si>
  <si>
    <t>RECONSTRUCCION DE CASETA DE CLORACION </t>
  </si>
  <si>
    <t>CONSTRUCCION DE MURO</t>
  </si>
  <si>
    <t>LOSA</t>
  </si>
  <si>
    <t xml:space="preserve">SUB-TOTAL </t>
  </si>
  <si>
    <t>SUB-TOTAL GENERAL</t>
  </si>
  <si>
    <t xml:space="preserve">ESTACION DE BOMBEOS LOS DOMINGUEZ </t>
  </si>
  <si>
    <t>A</t>
  </si>
  <si>
    <t>REPLANTEO (CON TOPÓGRAFO)</t>
  </si>
  <si>
    <t>LIMPIEZA GENERAL</t>
  </si>
  <si>
    <t>MOVIMIENTO DE TIERRA:</t>
  </si>
  <si>
    <t>EXCAVACIÓN A MANO EN ROCA 19M X 0.60M X 1.10 M</t>
  </si>
  <si>
    <t xml:space="preserve">ASIENTO DE ARENA DE 10 CM </t>
  </si>
  <si>
    <t>BOTE DE MATERIAL</t>
  </si>
  <si>
    <t xml:space="preserve">RELLENO COMPACTADO DE REPOSICIÓN  </t>
  </si>
  <si>
    <t>CONSTRUCCION DE CASETA DE BOMBEO </t>
  </si>
  <si>
    <t>ESTACION DE BOMBEO INCLUYE BOMBAS, ELECTRIFICACION, CASETA Y CARCAMO DE BOMBEO</t>
  </si>
  <si>
    <t>SUMINISTRO Y COLOCACIÓN DE:</t>
  </si>
  <si>
    <t xml:space="preserve">TUBERIA LINEA DE 6” PVC SCH-40+ 5% POR CAMPANA </t>
  </si>
  <si>
    <t>SUMINISTRO Y COLOCACION DE PIEZAS ESPECIALES</t>
  </si>
  <si>
    <t>SUMINISTRO Y COLOCACION VÁLVULAS DE COMPUERTA Ø6¨ COMPLETA (VÁSTAGO FIJO, ASIENTO RESILIENTE, JUNTAS DRESSER CRIOLLA, NIPLE DE 6", ANCLAJE EN H.S. JUNTAS DE GOMA Y SUS TORNILLOS)</t>
  </si>
  <si>
    <t>UND</t>
  </si>
  <si>
    <t>TANQUE DE ALMACENAMIENTO DE  100 M3 (6.37M X 6.07M X 3M)</t>
  </si>
  <si>
    <t xml:space="preserve">EXCAVACION CON EQUIPO 5.77M X 5.77M X 0.80M </t>
  </si>
  <si>
    <t>RELLENO DE REPOSICION COMPACTADO</t>
  </si>
  <si>
    <t>ML.</t>
  </si>
  <si>
    <t>BOTE DE MATERIAL EXCAVADO</t>
  </si>
  <si>
    <t>LIMPIEZA BASE CISATERNA POR DERRUMBES SUELO</t>
  </si>
  <si>
    <t>HORMIGON ARMADO EN FONDO H=0.30 M, (HORMIGON 240KG/CM2)</t>
  </si>
  <si>
    <t>HORMIGON ARMADO PAREDES ANCHO =0.30 M, (HORMIGON 240KG/CM2)</t>
  </si>
  <si>
    <t>HORMIGON ARMADO EN LOSA H=0.15 M, (HORMIGON 240KG/CM2)</t>
  </si>
  <si>
    <t>FRAGUACHE</t>
  </si>
  <si>
    <t>PAÑETE INTERIOR Y EXTERIOR PULIDO</t>
  </si>
  <si>
    <t>CINTA WATER STOP DE 9"</t>
  </si>
  <si>
    <t>PINTURA EN CISTERNA</t>
  </si>
  <si>
    <t>ESCALERA</t>
  </si>
  <si>
    <t xml:space="preserve">SUMINISTRO E INSTALACION DE TAPA METALICA </t>
  </si>
  <si>
    <t>PINTURA EXTERIOR</t>
  </si>
  <si>
    <t xml:space="preserve">TUBERIA 6" ACERO </t>
  </si>
  <si>
    <t>TUBO DE VENTILACION</t>
  </si>
  <si>
    <t>CONO DE REBOSE</t>
  </si>
  <si>
    <t>CODO de 6" x 90 ACERO</t>
  </si>
  <si>
    <t>COLOCACION Y SUMINISTRO DE ASFALTO</t>
  </si>
  <si>
    <t>CORTE DE ASFALTO</t>
  </si>
  <si>
    <t>REMOCION</t>
  </si>
  <si>
    <t>REPOSICION</t>
  </si>
  <si>
    <t xml:space="preserve">LINEA DE IMPULSION DE SABANA GRANDE </t>
  </si>
  <si>
    <t>TRABAJOS GENERALES</t>
  </si>
  <si>
    <t>LONGITUD TOTAL (REPLANTEO)</t>
  </si>
  <si>
    <t>LIMPIEZA GENERAL Y CONTINUA</t>
  </si>
  <si>
    <t>EXCAVACION CON EQUIPO</t>
  </si>
  <si>
    <t>ASIENTO DE ARENA DE 10 CM</t>
  </si>
  <si>
    <t>REGADO NIVELADO Y COMPACTADO RELLENO M3C</t>
  </si>
  <si>
    <t>CARGA Y BOTE MATERIAL - RETROPALA CAT416E</t>
  </si>
  <si>
    <t xml:space="preserve">SUMINISTRO Y COLOCACION DE TUBERIA </t>
  </si>
  <si>
    <t xml:space="preserve">TUBERIA DE 4” PVC-SCH 40 + 2.5% POR CAMPANA </t>
  </si>
  <si>
    <t>SUMINISTRO Y COLOCACION VÁLVULAS DE COMPUERTA Ø2¨ COMPLETA (VÁSTAGO FIJO, ASIENTO RESILIENTE, JUNTAS DRESSER CRIOLLA, NIPLE DE 2". JUNTAS DE GOMA Y SUS TORNILLOS)</t>
  </si>
  <si>
    <t>SUMINISTRO Y COLOCACION VÁLVULAS DE COMPUERTA Ø3¨ COMPLETA (VÁSTAGO FIJO, ASIENTO RESILIENTE, JUNTAS DRESSER CRIOLLA, NIPLE DE 3", ANCLAJE EN H.S. JUNTAS DE GOMA Y SUS TORNILLOS)</t>
  </si>
  <si>
    <t>SUMINISTRO Y COLOCACION VÁLVULAS DE COMPUERTA Ø4¨ COMPLETA (VÁSTAGO FIJO, ASIENTO RESILIENTE, JUNTAS DRESSER CRIOLLA, NIPLE DE 4", ANCLAJE EN H.S. JUNTAS DE GOMA Y SUS TORNILLOS)</t>
  </si>
  <si>
    <t>SUMINISTRO Y COLOCACION TAPON DE PVC DE 4" ANCLADO CON HORMIGON SIMPLE</t>
  </si>
  <si>
    <t>EMPALMES CON LINEAS EXISTENTES</t>
  </si>
  <si>
    <t>DEPOSITO DE RELEVO DE 40 M3 (4.4X4.9X2.5)</t>
  </si>
  <si>
    <t>EXCAVACION A MANO</t>
  </si>
  <si>
    <t>PISO HA E=0.15m 3/8"@0.25m EN A.D. FROTADO - HORMIGON INDUSTRIAL 210KG/CM2</t>
  </si>
  <si>
    <t>LOSA HA E=0.15m 3/8"@0.25m AD HORMIGON INDUSTRIAL 210Kg/cm2</t>
  </si>
  <si>
    <t>BLOQUES HORMIGON DE 8" - 3/8" @ 0.40m TODAS LAS CAMARAS LLENAS</t>
  </si>
  <si>
    <t>COLUMNA DE AMARRE 20x20 4 Ø3/8" - 3/8"@0.20m TAPA Y TAPA 1:2:4 CON LIGADORA</t>
  </si>
  <si>
    <t>COLUMNA AISLADA TIPO PILAR EN EL CENTRO 20x20 4 Ø1/2" - 1/2"@0.20m 1:2:4 CON LIGADORA</t>
  </si>
  <si>
    <t>VIGA DE CORONACION 20x20 4 Ø 3/8" - 3/8"@0.20m 1:2:4 CON LIGADORA</t>
  </si>
  <si>
    <t>ZAPATAS MUROS 8" 0.60m x 0.25m HORMIGON 1:2:4 CON LIGADORA</t>
  </si>
  <si>
    <t>ZAPATAS COLUMNA 5 UNIDADES 1.0m x 0.25m HORMIGON 1:2:4 CON LIGADORA</t>
  </si>
  <si>
    <t>EMPAÑETE PULIDO</t>
  </si>
  <si>
    <t>ZABALETA INTERIOR DE CISTERNA</t>
  </si>
  <si>
    <t>TAPA DE HIERRO GALBANIZADO</t>
  </si>
  <si>
    <t>CARGA Y BOTE DE MATERIAL</t>
  </si>
  <si>
    <t>ELECTROMECANICO</t>
  </si>
  <si>
    <t xml:space="preserve">ELECTROBOMBAS COMPLETAS DE 125 GPM VS 170' TDH INCLUYE, VALVULAS, MANYFORD ENTRE OTROS ELEMENTOS.  </t>
  </si>
  <si>
    <t xml:space="preserve">TRABAJOS ELECTROMECANICOS GENERAL Y CONEXIÓN A LA RED INCLUYE LINEA CON POSTE ELECTRICO, PANEL, BAJA TENSION, ENTRE OTROS ELEMENTOS.  </t>
  </si>
  <si>
    <t>TOTAL GENERAL DE PRESUPUESTO</t>
  </si>
  <si>
    <t xml:space="preserve"> </t>
  </si>
  <si>
    <t>GASTOS INDIRECTOS</t>
  </si>
  <si>
    <t>GASTOS ADMINISTRATIVOS</t>
  </si>
  <si>
    <t>HONORARIOS PROFESIONALES</t>
  </si>
  <si>
    <t>ITBIS A HONORARIOS PROFESIONALES</t>
  </si>
  <si>
    <t>SEGUROS, PÓLIZAS Y FIANZAS</t>
  </si>
  <si>
    <t>GASTOS DE TRANSPORTE</t>
  </si>
  <si>
    <t>CODIA</t>
  </si>
  <si>
    <t>SUB-TOTAL GASTOS INDIRECTOS</t>
  </si>
  <si>
    <t xml:space="preserve">TOTAL GENERAL </t>
  </si>
  <si>
    <t>SUB-TOTAL CUBICADO</t>
  </si>
  <si>
    <t>MENOS:</t>
  </si>
  <si>
    <t>AMORTIZACION DEL AVANCE</t>
  </si>
  <si>
    <t>TOTAL A PAGAR EN CUBICACION 01</t>
  </si>
  <si>
    <t>REVISADO POR:</t>
  </si>
  <si>
    <t>APROBADO POR:</t>
  </si>
  <si>
    <t>JUAN RAMON MOORE CHECO</t>
  </si>
  <si>
    <t>RAFAEL LEONIDAS DIAZ CUESTA</t>
  </si>
  <si>
    <t xml:space="preserve">      OLIVER JOSE NAZARIO BRUGAL</t>
  </si>
  <si>
    <t>ENC. DEPTO. FISCALIZACION DE OBRAS</t>
  </si>
  <si>
    <t>DIRECTOR GENERAL</t>
  </si>
  <si>
    <t>Pág. 01/02</t>
  </si>
  <si>
    <t>AMPLIACION ACUEDUCTO DE SAN MARCOS</t>
  </si>
  <si>
    <t>MONTO  CONTRATADO CON ADENDA :</t>
  </si>
  <si>
    <t>11  DE NOVIEMBRE, 2024</t>
  </si>
  <si>
    <t>007/2022</t>
  </si>
  <si>
    <t>ING. WASCAR VASQUEZ</t>
  </si>
  <si>
    <t xml:space="preserve">                                      PARTIDAS PRESUPUESTO</t>
  </si>
  <si>
    <t>CANTIDAD</t>
  </si>
  <si>
    <t xml:space="preserve">PRELIMINARES </t>
  </si>
  <si>
    <t xml:space="preserve">Letrero de obra </t>
  </si>
  <si>
    <t>und</t>
  </si>
  <si>
    <t xml:space="preserve">Manejo de transito </t>
  </si>
  <si>
    <t>ml.</t>
  </si>
  <si>
    <t xml:space="preserve">Corte de asfalto </t>
  </si>
  <si>
    <t>Replanteo (con topógrafo)</t>
  </si>
  <si>
    <t xml:space="preserve">Subtotal </t>
  </si>
  <si>
    <t>Perforación y aforo de pozos</t>
  </si>
  <si>
    <t>Pozos nuevos a perforar</t>
  </si>
  <si>
    <t>Suministro tuberia:</t>
  </si>
  <si>
    <t>Tubería pvc-sdr 21  12' + 5% por camp</t>
  </si>
  <si>
    <t>Colocacion de tuberia:</t>
  </si>
  <si>
    <t xml:space="preserve">Tubería pvc-sdr 21  12' </t>
  </si>
  <si>
    <t>Movimiento de tierra:</t>
  </si>
  <si>
    <t>Excavación con equipo</t>
  </si>
  <si>
    <t>Asiento de arena de 10 cm</t>
  </si>
  <si>
    <t>Bote de material</t>
  </si>
  <si>
    <t xml:space="preserve">Relleno compactado de reposición  </t>
  </si>
  <si>
    <t xml:space="preserve">Empalme a  tanque cuesta amarilla </t>
  </si>
  <si>
    <t xml:space="preserve">Suministro tuberia HN 12" </t>
  </si>
  <si>
    <t xml:space="preserve">Confeccion de andamio </t>
  </si>
  <si>
    <t xml:space="preserve">Pintura </t>
  </si>
  <si>
    <t xml:space="preserve">Mano de obra colocacion </t>
  </si>
  <si>
    <t xml:space="preserve">Suministro y colocacion Junta dresser 12" </t>
  </si>
  <si>
    <t xml:space="preserve">Cruce de alcantarilla </t>
  </si>
  <si>
    <t>Anclaje en tuberia de 12"  h.s.</t>
  </si>
  <si>
    <t>ESTACION DE BOMBEO #1</t>
  </si>
  <si>
    <t>bomba sumergible de 400 gpm y 300 tdh, panel de control con cable de panel a motor de 120 pies, control de fase, 100 pies de columnas de diametro en funcion de la bomba</t>
  </si>
  <si>
    <t>cheque horizontal ø8¨ platillado completo (pn 10, asiento en bronce, niples platillados, juntas de goma y sus tornillos )</t>
  </si>
  <si>
    <t>válvulas de compuerta  ø8¨ completa (pn 10, vástago fijo, juntas  dresser criolla, 2 niples platillados de 8", juntas de goma y sus tornillos)</t>
  </si>
  <si>
    <t>suministro e instalacion de manifold de 8", inlcluir manometro de 0-200 psi.</t>
  </si>
  <si>
    <t>pilar para instalacion de panel de control en h.a 210 kg/ cm2 (0.5x1.8*0.2) ø3/8@20 ad (incluir zapata 1.2x1.2x0.25)</t>
  </si>
  <si>
    <t>vaciado de recubrimiento de tuberia del pozo</t>
  </si>
  <si>
    <t>cercado de area de estacion de bombeo 4 m x 4 m en malla ciclonica 6 pies</t>
  </si>
  <si>
    <t>ESTACION DE BOMBEO #2</t>
  </si>
  <si>
    <t>SUBTOTAL PRESUPUESTO</t>
  </si>
  <si>
    <t xml:space="preserve">                                         CORPORACION DE ACUEDUCTOS Y ALCANTARILLADOS DE PUERTO PLATA</t>
  </si>
  <si>
    <t>Pag 2/2</t>
  </si>
  <si>
    <t>OBRA:</t>
  </si>
  <si>
    <t xml:space="preserve">AMPLIACION ACUEDUCTO DE SAN MARCOS
</t>
  </si>
  <si>
    <t xml:space="preserve">SUB-TOTAL GENERAL GASTOS DIRECTOS </t>
  </si>
  <si>
    <t>MAS:</t>
  </si>
  <si>
    <t>SEGUROS, POLIZAS Y FIANZAS</t>
  </si>
  <si>
    <t>TRANSPORTE</t>
  </si>
  <si>
    <t>LEY 6/86</t>
  </si>
  <si>
    <t xml:space="preserve">SUB-TOTAL GASTOS INDIRECTOS  </t>
  </si>
  <si>
    <t xml:space="preserve">TOTAL PRESUPUESTO </t>
  </si>
  <si>
    <t xml:space="preserve">% EJECUTADO </t>
  </si>
  <si>
    <t>TOTAL A PAGAR EN CUBICACION 04</t>
  </si>
  <si>
    <t xml:space="preserve">WASCAR DE JESUS VASQUEZ SUERO </t>
  </si>
  <si>
    <t xml:space="preserve">                OLIVER JOSE NAZARIO BRUGAL</t>
  </si>
  <si>
    <t xml:space="preserve">     ENC. DEPTO. FISCALIZACION DE OBRAS</t>
  </si>
  <si>
    <t>ACUEDUCTO MARIA LA O</t>
  </si>
  <si>
    <t>RD$5,978,384.428</t>
  </si>
  <si>
    <t>DICIEMBRE 16, 2024</t>
  </si>
  <si>
    <t>005/2022</t>
  </si>
  <si>
    <t>ESPIRAL S.R.L</t>
  </si>
  <si>
    <t>LINEA DE IMPULSION</t>
  </si>
  <si>
    <t>REPLANTEO (CON TOPOGRAFO)</t>
  </si>
  <si>
    <t xml:space="preserve">CAMPAMENTO GENERAL </t>
  </si>
  <si>
    <t>PER</t>
  </si>
  <si>
    <t xml:space="preserve">LETRERO DE OBRA </t>
  </si>
  <si>
    <t xml:space="preserve">MANEJO DEL TRANSITO Y SEÑALIZACION </t>
  </si>
  <si>
    <t xml:space="preserve">REPARACIONES DE TUBERIAS EXISTENTES </t>
  </si>
  <si>
    <t>SUMINISTRO Y COLOCACION DE :</t>
  </si>
  <si>
    <t>TUBERIA PVC-SDR21 12" +5% POR CAMP</t>
  </si>
  <si>
    <t xml:space="preserve">SUBTOTAL </t>
  </si>
  <si>
    <t>MOVIMIENTO DE TIERRA</t>
  </si>
  <si>
    <t>ASIENTO DE ARENA DE 10CM</t>
  </si>
  <si>
    <t xml:space="preserve">RELLENO COMPACTADO DE REPOSICION </t>
  </si>
  <si>
    <t>ANCLAJE EN CONCRETO</t>
  </si>
  <si>
    <t>ANCLAJE EN TUBERIA DE 8" (1.0X0.75X0.6) H.S</t>
  </si>
  <si>
    <t>ANCLAJE EN TUBERIA DE 12" (1.0X0.75X0.6) H.S</t>
  </si>
  <si>
    <t>LINEA DE DISTRIBUCION</t>
  </si>
  <si>
    <t>SUMINISTRO Y COLOCACION DE:</t>
  </si>
  <si>
    <t>TUBERIA PVC-SDR 21 12" +5% POR CAMP</t>
  </si>
  <si>
    <t>ANCLAJE EN TUBERIA (1.0X0.85X0.6) H.S.</t>
  </si>
  <si>
    <t>SUBTOTAL LINEA DE DISTRIBUCION</t>
  </si>
  <si>
    <t>TANQUE DE ALMACENAMIENTO DE 500 M3</t>
  </si>
  <si>
    <t>CASETA PARA MATERIALES</t>
  </si>
  <si>
    <t>DISEÑO ESTRUCTURAL</t>
  </si>
  <si>
    <t>SP</t>
  </si>
  <si>
    <t>EXCAVACION MATERIAL COMPACTADO CON EQUIPO</t>
  </si>
  <si>
    <t>RELLENO COMPACTADO CON CALICHE CON COMPACTADOR MECANICO EN CAPAS DE 0.30M</t>
  </si>
  <si>
    <t>BOTE DE MATERIAL SOBRANTE (INCLUYE CARGUIO Y ESPARCIMIENTO EN BOTADERO) (D= 5KM)</t>
  </si>
  <si>
    <t>HORMIGON ARMADO 280 KG/CM2 EN:</t>
  </si>
  <si>
    <t>ZAPATA DE MURO (0.40X1.25M) M -2.79 QQ/M3</t>
  </si>
  <si>
    <t>LOSA DE FONDO 0.20 M -1.33 QQ/M3</t>
  </si>
  <si>
    <t>MURO DE HORMIGON M1: H=0.30 | A'S V Ø3/8 @ 0.15 AD, AC;   | F'C: 210 KG /CM2</t>
  </si>
  <si>
    <t>MURO DE HORMIGON M2: H=0.20 | A'S V Ø3/8 @ 0.15 AD, AC;   | F'C: 210 KG /CM2</t>
  </si>
  <si>
    <t>VIGA V1 (0.25X0.50) M - 20X52 | AsL: 3Ø3/4" + 2 Ø1/2" + 2Ø3/8 | AsT: Ø3/8@0.15 M  | F'C: 210 KG /CM2</t>
  </si>
  <si>
    <t>LOSA DE TECHO 0.15 M - Ø3/8 @ 0.15 M AD   | F'C: 210 KG /CM2</t>
  </si>
  <si>
    <t xml:space="preserve">ZABALETA EN HORMIGÓN SIMPLE: F'C=180 KG/CM2  </t>
  </si>
  <si>
    <t xml:space="preserve">SUBTOTAL HORMIGON ARMADO </t>
  </si>
  <si>
    <t>TERMINACION DE SUPERFICIE</t>
  </si>
  <si>
    <t>PAÑETE INTERIOR PULIDO</t>
  </si>
  <si>
    <t>PAÑETE EXTERIOR</t>
  </si>
  <si>
    <t>FINO DE TECHO</t>
  </si>
  <si>
    <t>FINO DE FONDO PULIDO</t>
  </si>
  <si>
    <t>CANTOS</t>
  </si>
  <si>
    <t>PINTURA ACRILICA (INCLUYE BASE BLANCA)</t>
  </si>
  <si>
    <t xml:space="preserve">SUBTOTAL TANQUE </t>
  </si>
  <si>
    <t>INSTALACION ENTRADA, SALIDA, REBOSE, DESAGUE Y BY-PASS ( CON PROTECCION ANTICORROSIVA)</t>
  </si>
  <si>
    <t>CODO 12" X 90 " ACERO SCH-30</t>
  </si>
  <si>
    <t>CODO 8" X 90" ACERO SCH-40</t>
  </si>
  <si>
    <t>TEE 12" X 12" ACERO SCH-30</t>
  </si>
  <si>
    <t>TEE 12" X 8" ACERO SCH-30</t>
  </si>
  <si>
    <t>JUNTA MECANICA TIPO DRESSER DIA 12" ACERO SCH-30</t>
  </si>
  <si>
    <t>JUNTA MECANICA TIPO DRESSER DIA 8" ACERO SCH-30</t>
  </si>
  <si>
    <t>VALVULAS DE COMPUERTA DE 8" COMPLETA (PN10, VASTAGO FIJO, JUNTAS DRESSER CRIOLLA, 2 NIPLES PLATILLADOS DE 8", JUNTAS DE GOMA Y SUS TORNILLOS)</t>
  </si>
  <si>
    <t>TUBERIA DE 12" ACERO SCH-30</t>
  </si>
  <si>
    <t>M</t>
  </si>
  <si>
    <t>TUBERIA DE 12"CON JUNTA DE GOMA</t>
  </si>
  <si>
    <t>TUBERIA DE 8 " ACERO SCH-40 PARA DESAGUE</t>
  </si>
  <si>
    <t>ANLCAJE H.S. PARA PIEZAS ESPECIALES ( SEGÚN DISEÑO)</t>
  </si>
  <si>
    <t>NIPLES ACERO 12" X 3" SCH-30</t>
  </si>
  <si>
    <t>NIPLES ACERO 8" X 3" SCH-30</t>
  </si>
  <si>
    <t>MANO DE OBRA PLOMERO Y SOLDADOR (INCLUYE NIPLES)</t>
  </si>
  <si>
    <t>REGISTRO MURO BLOCK 6" (1.20X1.20X1.50) M (SEGÚN DISEÑO)</t>
  </si>
  <si>
    <t>REGISTRO MURO BLOCK 8" (3.0X2.20X1.50) M</t>
  </si>
  <si>
    <t>TAPA DE ALUMINIO (0.8X0.8) M PARA REGISTRO</t>
  </si>
  <si>
    <t>TAPA DE ALUMINIO (0.6X0.6) M PARA REGISTRO</t>
  </si>
  <si>
    <t>ESCALERA INTERIOR HIERRO GALVANIZADO DE 3/4" H= 4.00 M</t>
  </si>
  <si>
    <t>ESCALERA EXTERIOR HIERRO GALVANIZADO DE 3/4" H= 2.50 M</t>
  </si>
  <si>
    <t>MOVIMIENTO DE TIERRA PARA TUBERIA</t>
  </si>
  <si>
    <t>SUMINISTRO Y COLOCACION ASIENTO DE ARENA E= 0.10M</t>
  </si>
  <si>
    <t xml:space="preserve">D </t>
  </si>
  <si>
    <t>INTERCONCEXION A LINEA DE 20"</t>
  </si>
  <si>
    <t>INTERCONEXION A LINEA DE 20"</t>
  </si>
  <si>
    <t>PICADO DE CALLE CONEXIÓN A TUBERIA, SUMINISTRO Y COLOCACION DE TEE REDUCTORA 20" A 12" EN HN, ADECUACION Y REHABILITACION DE CALLE</t>
  </si>
  <si>
    <t>EXCAVACION NO CLASIFICADA</t>
  </si>
  <si>
    <t>ASIENTO DE GRAVA DE 10 CM</t>
  </si>
  <si>
    <t xml:space="preserve">BOTE DE MATERIAL </t>
  </si>
  <si>
    <t>RELLENO COMPACTADO DE REPOSICION</t>
  </si>
  <si>
    <t>PIEZAS ESPECIALES ( SUMINISTRO Y COLOCACION)</t>
  </si>
  <si>
    <t>CODOS EN HIERRO NEGRO DE 45 GRADOS DE 8"</t>
  </si>
  <si>
    <t>CODOS EN HIERRO NEGRO DE 90 GRADOS DE 8"</t>
  </si>
  <si>
    <t>CODOS EN HIERRO NEGRO DE 45 GRADOS DE 12"</t>
  </si>
  <si>
    <t>CODOS EN HIERRO NEGRO DE 90 GRADOS DE 12"</t>
  </si>
  <si>
    <t>VALVULAS DE AIRE DE 2"250 PSI DE TRIPLE FUNCION, COMPLETA CON SU NIPLE Y VALVULA DE BOLA</t>
  </si>
  <si>
    <t>VALVULAS DE AIRE DE 1"250 PSI DE TRIPLE FUNCION, COMPLETA CON SU NIPLE Y VALVULA DE BOLA</t>
  </si>
  <si>
    <t>VALVULA MARIPOSA 20" TIPO MARIPOSA, VASTAGO FIJO CON CUADRANTE INCLUYE: NIPLES PLATILLADOS, JUNTAS DE GOMA, TORNILLOS Y JUNTAS DRESSER CRIOLLAS.</t>
  </si>
  <si>
    <t>JUNTA DRESSER DE 8"</t>
  </si>
  <si>
    <t>JUNTA DRESSER DE 12"</t>
  </si>
  <si>
    <t>BOMBA SUMERGIBLE DE 400 GPM Y 300 TDH, PANEL DE CONTROL CON CABLE DE PANEL A MOTOR DE 120 PIES, CONTROL DE FASE, 100 PIES DE COLUMNAS DE DIAMETRO EN FUNCION DE LA BOMBA</t>
  </si>
  <si>
    <t>CHEQUE HORIZONTAL 8" PLATILLADO COMPLETO (PN 10, ASIENTO EN BRONCE, NIPLES PLATILLADOS, JUNTAS DE GOMA Y SUS TORNILLOS)</t>
  </si>
  <si>
    <t>VALVULAS COMPUERTA 8"  COMPLETA ( PN 10, VASTAGO FIJO, JUNTAS DRESSER CRIOLLA, 2 NIPLES PLATILLADOS DE 8", JUNTAS DE GOMAS Y SUS TORNILLOS)</t>
  </si>
  <si>
    <t>SUMINISTRO E INSTALACION DE MANIFOLD DE 8". INCLUIR MANOMETRO DE 0-200 PSI</t>
  </si>
  <si>
    <t>PILAR PARA INSTALACION DE PANEL DE CONTROL EN H.A. 210 KG/CM2 (0.5X1.8X0.20) 3/8 A 20 AD (INCLUIR ZAPATA 1.2X1.2X0.25)</t>
  </si>
  <si>
    <t>VACIADO DE RECUBRIMIENTO DE TUBERIA DEL POZO</t>
  </si>
  <si>
    <t>CERCADO DE AREA DE ESTACION DE BOMBEO 4MX4M EN MALLA CICLONICA 6 PIES</t>
  </si>
  <si>
    <t>SUMINISTRO E INSTALACION DE MANIFOLD DE 8". INCLUIR MANOMETRO DE 0-200 PSI.</t>
  </si>
  <si>
    <t>ESTACION DE BOMBEO #3</t>
  </si>
  <si>
    <t>ESTACION DE BOMBEO #4</t>
  </si>
  <si>
    <t>ESTACION DE BOMBEO #5</t>
  </si>
  <si>
    <t>ESTACION DE BOMBEO #6</t>
  </si>
  <si>
    <t>POZO DE ABSTECIMIENTO 04</t>
  </si>
  <si>
    <t>PERFORACION DE 1 POZO DE ABASTECIMEINTO DE AGUA, DE 90 PIES DEPROFUNDIDAD DE 14" DE DIAMETRO ENCAMISADO CON TUBERIA PVC DE 12" DE DIAMETRO.</t>
  </si>
  <si>
    <t>PL</t>
  </si>
  <si>
    <t>SUMINISTRO DE TUBOS PVC DE 12" DE DIAMETRO</t>
  </si>
  <si>
    <t xml:space="preserve">PRUEBA DE AFORO POR 24 HORAS </t>
  </si>
  <si>
    <t>L</t>
  </si>
  <si>
    <t>POZO DE ABSTECIMIENTO 05</t>
  </si>
  <si>
    <t>POZO DE ABSTECIMIENTO 06</t>
  </si>
  <si>
    <t>INSTALACION ELECTRICA</t>
  </si>
  <si>
    <t xml:space="preserve">INSTALACION ELECTRICA PARA 6 BOMBAS </t>
  </si>
  <si>
    <t>PRE</t>
  </si>
  <si>
    <t>DISEÑO MEDIA TENSION</t>
  </si>
  <si>
    <t>Pág. 02/02</t>
  </si>
  <si>
    <t xml:space="preserve">                       MONTO  CONTRATADO:</t>
  </si>
  <si>
    <t xml:space="preserve">SUB-TOTAL GENERAL PRESUPUESTO  </t>
  </si>
  <si>
    <t xml:space="preserve">LIQUIDACION DE OBREROS </t>
  </si>
  <si>
    <t>SUB-TOTAL GASTOS DIRECTOS</t>
  </si>
  <si>
    <t>TOTAL GENERAL PRESUPUESTADO</t>
  </si>
  <si>
    <t>TOTAL A PAGAR EN CUBICACION 05</t>
  </si>
  <si>
    <t xml:space="preserve">Porcentaje ejecutado </t>
  </si>
  <si>
    <t>ALEXANDER DOMINGUEZ MARTINEZ</t>
  </si>
  <si>
    <t xml:space="preserve"> OLIVER JOSE NAZARIO BRUGAL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</si>
</sst>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3" formatCode="_-* #,##0.00_-;\-* #,##0.00_-;_-* &quot;-&quot;??_-;_-@_-"/>
    <numFmt numFmtId="164" formatCode="_(* #,##0.00_);_(* \(#,##0.00\);_(* &quot;-&quot;??_);_(@_)"/>
    <numFmt numFmtId="165" formatCode="&quot;RD$&quot;#,##0.00_);[Red]\(&quot;RD$&quot;#,##0.00\)"/>
    <numFmt numFmtId="166" formatCode="0.0"/>
    <numFmt numFmtId="167" formatCode="_(* #,##0.000_);_(* \(#,##0.000\);_(* &quot;-&quot;??_);_(@_)"/>
    <numFmt numFmtId="168" formatCode="_(* #,##0_);_(* \(#,##0\);_(* &quot;-&quot;??_);_(@_)"/>
    <numFmt numFmtId="169" formatCode="_(&quot;RD$&quot;* #,##0.00_);_(&quot;RD$&quot;* \(#,##0.00\);_(&quot;RD$&quot;* &quot;-&quot;??_);_(@_)"/>
    <numFmt numFmtId="170" formatCode="#,##0.000_);[Red]\(#,##0.000\)"/>
    <numFmt numFmtId="171" formatCode="0.0%"/>
    <numFmt numFmtId="172" formatCode="&quot;RD$&quot;#,##0.0000_);[Red]\(&quot;RD$&quot;#,##0.0000\)"/>
    <numFmt numFmtId="173" formatCode="&quot;RD$&quot;#,##0.0_);[Red]\(&quot;RD$&quot;#,##0.0\)"/>
    <numFmt numFmtId="174" formatCode="_(* #,##0.0000_);_(* \(#,##0.0000\);_(* &quot;-&quot;??_);_(@_)"/>
    <numFmt numFmtId="175" formatCode="_(* #,##0.000000_);_(* \(#,##0.000000\);_(* &quot;-&quot;??_);_(@_)"/>
    <numFmt numFmtId="176" formatCode="_(* #,##0.00000_);_(* \(#,##0.00000\);_(* &quot;-&quot;??_);_(@_)"/>
    <numFmt numFmtId="177" formatCode="_(* #,##0.0000_);_(* \(#,##0.0000\);_(* &quot;-&quot;????_);_(@_)"/>
    <numFmt numFmtId="178" formatCode="#,##0.00000"/>
    <numFmt numFmtId="179" formatCode="&quot;$&quot;#,##0.00"/>
    <numFmt numFmtId="180" formatCode="&quot;RD$&quot;#,##0.00"/>
    <numFmt numFmtId="181" formatCode="#,##0.000000000"/>
    <numFmt numFmtId="182" formatCode="&quot;RD$&quot;#,##0.00_);\(&quot;RD$&quot;#,##0.00\)"/>
    <numFmt numFmtId="183" formatCode="0.0000"/>
    <numFmt numFmtId="184" formatCode="#,##0.0000_);\(#,##0.0000\)"/>
    <numFmt numFmtId="185" formatCode="#,##0.0000"/>
    <numFmt numFmtId="186" formatCode="#,##0.000000_);\(#,##0.000000\)"/>
    <numFmt numFmtId="187" formatCode="0.000000"/>
    <numFmt numFmtId="188" formatCode="#,##0.000"/>
    <numFmt numFmtId="189" formatCode="_(* #,##0.000_);_(* \(#,##0.000\);_(* &quot;-&quot;???_);_(@_)"/>
    <numFmt numFmtId="190" formatCode="#,##0.000_);\(#,##0.000\)"/>
    <numFmt numFmtId="191" formatCode="#,##0.000000000_);[Red]\(#,##0.000000000\)"/>
    <numFmt numFmtId="192" formatCode="&quot;RD$&quot;#,##0.000_);[Red]\(&quot;RD$&quot;#,##0.000\)"/>
    <numFmt numFmtId="193" formatCode="&quot;RD$&quot;#,##0.000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name val="Times New Roman"/>
      <family val="1"/>
    </font>
    <font>
      <b/>
      <sz val="9"/>
      <color indexed="12"/>
      <name val="Times New Roman"/>
      <family val="1"/>
    </font>
    <font>
      <sz val="9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3F3F3F"/>
      <name val="Times New Roman"/>
      <family val="1"/>
    </font>
    <font>
      <sz val="11"/>
      <name val="Aptos Narrow"/>
      <family val="2"/>
      <scheme val="minor"/>
    </font>
    <font>
      <b/>
      <sz val="9"/>
      <color theme="9" tint="-0.499984740745262"/>
      <name val="Times New Roman"/>
      <family val="1"/>
    </font>
    <font>
      <sz val="10"/>
      <name val="MS Sans Serif"/>
    </font>
    <font>
      <b/>
      <sz val="8"/>
      <color theme="9" tint="-0.499984740745262"/>
      <name val="Times New Roman"/>
      <family val="1"/>
    </font>
    <font>
      <b/>
      <sz val="9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b/>
      <sz val="8"/>
      <name val="Times New Roman"/>
      <family val="1"/>
    </font>
    <font>
      <b/>
      <u/>
      <sz val="9"/>
      <name val="Times New Roman"/>
      <family val="1"/>
    </font>
    <font>
      <sz val="9"/>
      <color rgb="FFFF0000"/>
      <name val="Times New Roman"/>
      <family val="1"/>
    </font>
    <font>
      <sz val="10"/>
      <color rgb="FFFF0000"/>
      <name val="Times New Roman"/>
      <family val="1"/>
    </font>
    <font>
      <sz val="8"/>
      <name val="Times New Roman"/>
      <family val="1"/>
    </font>
    <font>
      <sz val="10"/>
      <color theme="1"/>
      <name val="Aptos Narrow"/>
      <family val="2"/>
      <scheme val="minor"/>
    </font>
    <font>
      <b/>
      <u/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14" fillId="0" borderId="0"/>
    <xf numFmtId="0" fontId="17" fillId="0" borderId="0"/>
    <xf numFmtId="43" fontId="19" fillId="0" borderId="0" applyFont="0" applyFill="0" applyBorder="0" applyAlignment="0" applyProtection="0"/>
    <xf numFmtId="0" fontId="17" fillId="0" borderId="0"/>
    <xf numFmtId="164" fontId="19" fillId="0" borderId="0" applyFont="0" applyFill="0" applyBorder="0" applyAlignment="0" applyProtection="0"/>
  </cellStyleXfs>
  <cellXfs count="485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wrapText="1"/>
    </xf>
    <xf numFmtId="49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/>
    <xf numFmtId="17" fontId="5" fillId="0" borderId="0" xfId="0" applyNumberFormat="1" applyFont="1" applyAlignment="1">
      <alignment horizontal="right"/>
    </xf>
    <xf numFmtId="14" fontId="5" fillId="0" borderId="0" xfId="0" applyNumberFormat="1" applyFont="1"/>
    <xf numFmtId="0" fontId="8" fillId="2" borderId="1" xfId="3" applyFont="1" applyAlignment="1">
      <alignment horizontal="center"/>
    </xf>
    <xf numFmtId="0" fontId="5" fillId="4" borderId="3" xfId="0" applyFont="1" applyFill="1" applyBorder="1" applyAlignment="1">
      <alignment horizontal="center" vertical="top"/>
    </xf>
    <xf numFmtId="0" fontId="5" fillId="4" borderId="4" xfId="0" applyFont="1" applyFill="1" applyBorder="1" applyAlignment="1">
      <alignment horizontal="center"/>
    </xf>
    <xf numFmtId="164" fontId="5" fillId="4" borderId="4" xfId="1" applyFont="1" applyFill="1" applyBorder="1" applyAlignment="1">
      <alignment horizontal="center"/>
    </xf>
    <xf numFmtId="164" fontId="5" fillId="4" borderId="5" xfId="1" applyFont="1" applyFill="1" applyBorder="1" applyAlignment="1">
      <alignment horizontal="center"/>
    </xf>
    <xf numFmtId="164" fontId="8" fillId="2" borderId="1" xfId="3" applyNumberFormat="1" applyFont="1" applyAlignment="1">
      <alignment horizontal="center"/>
    </xf>
    <xf numFmtId="0" fontId="8" fillId="2" borderId="1" xfId="3" applyFont="1" applyAlignment="1">
      <alignment horizontal="left" vertical="top"/>
    </xf>
    <xf numFmtId="0" fontId="9" fillId="3" borderId="4" xfId="4" applyFont="1" applyBorder="1" applyAlignment="1">
      <alignment horizontal="center"/>
    </xf>
    <xf numFmtId="164" fontId="9" fillId="3" borderId="4" xfId="4" applyNumberFormat="1" applyFont="1" applyBorder="1" applyAlignment="1">
      <alignment horizontal="center"/>
    </xf>
    <xf numFmtId="164" fontId="9" fillId="3" borderId="6" xfId="4" applyNumberFormat="1" applyFont="1" applyBorder="1" applyAlignment="1">
      <alignment horizontal="center"/>
    </xf>
    <xf numFmtId="166" fontId="5" fillId="5" borderId="7" xfId="0" applyNumberFormat="1" applyFont="1" applyFill="1" applyBorder="1" applyAlignment="1">
      <alignment horizontal="center" vertical="top"/>
    </xf>
    <xf numFmtId="0" fontId="5" fillId="5" borderId="2" xfId="0" applyFont="1" applyFill="1" applyBorder="1"/>
    <xf numFmtId="0" fontId="7" fillId="5" borderId="2" xfId="0" applyFont="1" applyFill="1" applyBorder="1"/>
    <xf numFmtId="0" fontId="7" fillId="5" borderId="2" xfId="0" applyFont="1" applyFill="1" applyBorder="1" applyAlignment="1">
      <alignment horizontal="center"/>
    </xf>
    <xf numFmtId="164" fontId="7" fillId="5" borderId="2" xfId="1" applyFont="1" applyFill="1" applyBorder="1" applyAlignment="1"/>
    <xf numFmtId="164" fontId="8" fillId="2" borderId="1" xfId="3" applyNumberFormat="1" applyFont="1" applyAlignment="1"/>
    <xf numFmtId="0" fontId="8" fillId="6" borderId="1" xfId="3" applyFont="1" applyFill="1" applyAlignment="1">
      <alignment horizontal="left" vertical="top"/>
    </xf>
    <xf numFmtId="0" fontId="8" fillId="6" borderId="1" xfId="3" applyFont="1" applyFill="1"/>
    <xf numFmtId="0" fontId="10" fillId="3" borderId="2" xfId="4" applyFont="1" applyBorder="1" applyAlignment="1">
      <alignment horizontal="center"/>
    </xf>
    <xf numFmtId="164" fontId="10" fillId="3" borderId="2" xfId="4" applyNumberFormat="1" applyFont="1" applyBorder="1" applyAlignment="1"/>
    <xf numFmtId="164" fontId="10" fillId="3" borderId="8" xfId="4" applyNumberFormat="1" applyFont="1" applyBorder="1" applyAlignment="1"/>
    <xf numFmtId="2" fontId="7" fillId="5" borderId="7" xfId="0" applyNumberFormat="1" applyFont="1" applyFill="1" applyBorder="1" applyAlignment="1">
      <alignment horizontal="center" vertical="top"/>
    </xf>
    <xf numFmtId="164" fontId="7" fillId="5" borderId="2" xfId="1" applyFont="1" applyFill="1" applyBorder="1" applyAlignment="1">
      <alignment horizontal="center" vertical="center"/>
    </xf>
    <xf numFmtId="164" fontId="7" fillId="5" borderId="9" xfId="1" applyFont="1" applyFill="1" applyBorder="1" applyAlignment="1"/>
    <xf numFmtId="164" fontId="8" fillId="6" borderId="1" xfId="3" applyNumberFormat="1" applyFont="1" applyFill="1" applyAlignment="1"/>
    <xf numFmtId="2" fontId="7" fillId="6" borderId="2" xfId="0" applyNumberFormat="1" applyFont="1" applyFill="1" applyBorder="1" applyAlignment="1">
      <alignment horizontal="right"/>
    </xf>
    <xf numFmtId="164" fontId="7" fillId="6" borderId="2" xfId="1" applyFont="1" applyFill="1" applyBorder="1" applyAlignment="1"/>
    <xf numFmtId="164" fontId="10" fillId="3" borderId="2" xfId="4" applyNumberFormat="1" applyFont="1" applyBorder="1" applyAlignment="1">
      <alignment horizontal="center"/>
    </xf>
    <xf numFmtId="164" fontId="10" fillId="3" borderId="10" xfId="4" applyNumberFormat="1" applyFont="1" applyBorder="1" applyAlignment="1"/>
    <xf numFmtId="4" fontId="7" fillId="7" borderId="2" xfId="0" applyNumberFormat="1" applyFont="1" applyFill="1" applyBorder="1" applyAlignment="1">
      <alignment horizontal="right"/>
    </xf>
    <xf numFmtId="164" fontId="5" fillId="5" borderId="9" xfId="1" applyFont="1" applyFill="1" applyBorder="1" applyAlignment="1"/>
    <xf numFmtId="2" fontId="8" fillId="2" borderId="1" xfId="3" applyNumberFormat="1" applyFont="1" applyAlignment="1">
      <alignment horizontal="right"/>
    </xf>
    <xf numFmtId="10" fontId="8" fillId="2" borderId="1" xfId="3" applyNumberFormat="1" applyFont="1" applyAlignment="1"/>
    <xf numFmtId="164" fontId="9" fillId="3" borderId="10" xfId="4" applyNumberFormat="1" applyFont="1" applyBorder="1" applyAlignment="1"/>
    <xf numFmtId="4" fontId="5" fillId="7" borderId="2" xfId="0" applyNumberFormat="1" applyFont="1" applyFill="1" applyBorder="1" applyAlignment="1">
      <alignment horizontal="right"/>
    </xf>
    <xf numFmtId="2" fontId="5" fillId="5" borderId="7" xfId="0" applyNumberFormat="1" applyFont="1" applyFill="1" applyBorder="1" applyAlignment="1">
      <alignment horizontal="center" vertical="top"/>
    </xf>
    <xf numFmtId="0" fontId="5" fillId="5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/>
    </xf>
    <xf numFmtId="164" fontId="5" fillId="5" borderId="2" xfId="1" applyFont="1" applyFill="1" applyBorder="1" applyAlignment="1">
      <alignment horizontal="center" vertical="center"/>
    </xf>
    <xf numFmtId="164" fontId="5" fillId="5" borderId="2" xfId="1" applyFont="1" applyFill="1" applyBorder="1" applyAlignment="1"/>
    <xf numFmtId="2" fontId="7" fillId="5" borderId="2" xfId="0" applyNumberFormat="1" applyFont="1" applyFill="1" applyBorder="1" applyAlignment="1">
      <alignment horizontal="center" vertical="top"/>
    </xf>
    <xf numFmtId="0" fontId="7" fillId="5" borderId="11" xfId="0" applyFont="1" applyFill="1" applyBorder="1"/>
    <xf numFmtId="0" fontId="7" fillId="5" borderId="11" xfId="0" applyFont="1" applyFill="1" applyBorder="1" applyAlignment="1">
      <alignment horizontal="center"/>
    </xf>
    <xf numFmtId="0" fontId="7" fillId="5" borderId="2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/>
    <xf numFmtId="164" fontId="11" fillId="2" borderId="1" xfId="3" applyNumberFormat="1" applyFont="1" applyAlignment="1"/>
    <xf numFmtId="2" fontId="11" fillId="2" borderId="2" xfId="3" applyNumberFormat="1" applyFont="1" applyBorder="1" applyAlignment="1">
      <alignment horizontal="right"/>
    </xf>
    <xf numFmtId="9" fontId="11" fillId="2" borderId="2" xfId="2" applyFont="1" applyFill="1" applyBorder="1" applyAlignment="1"/>
    <xf numFmtId="167" fontId="10" fillId="3" borderId="2" xfId="4" applyNumberFormat="1" applyFont="1" applyBorder="1" applyAlignment="1"/>
    <xf numFmtId="2" fontId="7" fillId="5" borderId="2" xfId="0" applyNumberFormat="1" applyFont="1" applyFill="1" applyBorder="1" applyAlignment="1">
      <alignment horizontal="center" vertical="center"/>
    </xf>
    <xf numFmtId="0" fontId="7" fillId="5" borderId="2" xfId="1" applyNumberFormat="1" applyFont="1" applyFill="1" applyBorder="1" applyAlignment="1"/>
    <xf numFmtId="164" fontId="8" fillId="2" borderId="1" xfId="3" applyNumberFormat="1" applyFont="1" applyAlignment="1">
      <alignment horizontal="right"/>
    </xf>
    <xf numFmtId="0" fontId="7" fillId="5" borderId="10" xfId="0" applyFont="1" applyFill="1" applyBorder="1"/>
    <xf numFmtId="0" fontId="7" fillId="5" borderId="10" xfId="0" applyFont="1" applyFill="1" applyBorder="1" applyAlignment="1">
      <alignment horizontal="center"/>
    </xf>
    <xf numFmtId="0" fontId="7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left"/>
    </xf>
    <xf numFmtId="39" fontId="9" fillId="3" borderId="10" xfId="4" applyNumberFormat="1" applyFont="1" applyBorder="1" applyAlignment="1"/>
    <xf numFmtId="2" fontId="5" fillId="5" borderId="2" xfId="0" applyNumberFormat="1" applyFont="1" applyFill="1" applyBorder="1" applyAlignment="1">
      <alignment horizontal="center" vertical="top"/>
    </xf>
    <xf numFmtId="0" fontId="5" fillId="5" borderId="2" xfId="0" applyFont="1" applyFill="1" applyBorder="1" applyAlignment="1">
      <alignment wrapText="1"/>
    </xf>
    <xf numFmtId="39" fontId="10" fillId="3" borderId="10" xfId="4" applyNumberFormat="1" applyFont="1" applyBorder="1" applyAlignment="1"/>
    <xf numFmtId="168" fontId="8" fillId="2" borderId="1" xfId="3" applyNumberFormat="1" applyFont="1" applyAlignment="1"/>
    <xf numFmtId="0" fontId="7" fillId="5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left" vertical="center" wrapText="1"/>
    </xf>
    <xf numFmtId="164" fontId="8" fillId="2" borderId="2" xfId="3" applyNumberFormat="1" applyFont="1" applyBorder="1" applyAlignment="1"/>
    <xf numFmtId="2" fontId="8" fillId="2" borderId="2" xfId="3" applyNumberFormat="1" applyFont="1" applyBorder="1" applyAlignment="1">
      <alignment horizontal="right"/>
    </xf>
    <xf numFmtId="168" fontId="8" fillId="2" borderId="2" xfId="3" applyNumberFormat="1" applyFont="1" applyBorder="1" applyAlignment="1"/>
    <xf numFmtId="167" fontId="9" fillId="3" borderId="2" xfId="4" applyNumberFormat="1" applyFont="1" applyBorder="1" applyAlignment="1"/>
    <xf numFmtId="164" fontId="7" fillId="5" borderId="2" xfId="1" applyFont="1" applyFill="1" applyBorder="1" applyAlignment="1">
      <alignment horizontal="center"/>
    </xf>
    <xf numFmtId="0" fontId="7" fillId="5" borderId="2" xfId="1" applyNumberFormat="1" applyFont="1" applyFill="1" applyBorder="1" applyAlignment="1">
      <alignment horizontal="center"/>
    </xf>
    <xf numFmtId="2" fontId="7" fillId="5" borderId="2" xfId="1" applyNumberFormat="1" applyFont="1" applyFill="1" applyBorder="1" applyAlignment="1">
      <alignment horizontal="center"/>
    </xf>
    <xf numFmtId="2" fontId="5" fillId="5" borderId="2" xfId="0" applyNumberFormat="1" applyFont="1" applyFill="1" applyBorder="1" applyAlignment="1">
      <alignment horizontal="center" vertical="center"/>
    </xf>
    <xf numFmtId="164" fontId="5" fillId="5" borderId="2" xfId="1" applyFont="1" applyFill="1" applyBorder="1" applyAlignment="1">
      <alignment horizontal="center"/>
    </xf>
    <xf numFmtId="0" fontId="5" fillId="5" borderId="2" xfId="0" applyFont="1" applyFill="1" applyBorder="1" applyAlignment="1">
      <alignment vertical="center" wrapText="1"/>
    </xf>
    <xf numFmtId="164" fontId="11" fillId="2" borderId="2" xfId="3" applyNumberFormat="1" applyFont="1" applyBorder="1" applyAlignment="1"/>
    <xf numFmtId="4" fontId="10" fillId="3" borderId="2" xfId="4" applyNumberFormat="1" applyFont="1" applyBorder="1" applyAlignment="1">
      <alignment horizontal="center"/>
    </xf>
    <xf numFmtId="4" fontId="9" fillId="3" borderId="2" xfId="4" applyNumberFormat="1" applyFont="1" applyBorder="1" applyAlignment="1">
      <alignment horizontal="center"/>
    </xf>
    <xf numFmtId="4" fontId="7" fillId="5" borderId="2" xfId="1" applyNumberFormat="1" applyFont="1" applyFill="1" applyBorder="1" applyAlignment="1">
      <alignment horizontal="center"/>
    </xf>
    <xf numFmtId="169" fontId="5" fillId="5" borderId="2" xfId="1" applyNumberFormat="1" applyFont="1" applyFill="1" applyBorder="1" applyAlignment="1"/>
    <xf numFmtId="169" fontId="8" fillId="2" borderId="2" xfId="3" applyNumberFormat="1" applyFont="1" applyBorder="1" applyAlignment="1"/>
    <xf numFmtId="169" fontId="8" fillId="2" borderId="2" xfId="3" applyNumberFormat="1" applyFont="1" applyBorder="1" applyAlignment="1">
      <alignment horizontal="right"/>
    </xf>
    <xf numFmtId="169" fontId="9" fillId="3" borderId="2" xfId="4" applyNumberFormat="1" applyFont="1" applyBorder="1" applyAlignment="1">
      <alignment horizontal="center"/>
    </xf>
    <xf numFmtId="169" fontId="9" fillId="3" borderId="2" xfId="4" applyNumberFormat="1" applyFont="1" applyBorder="1" applyAlignment="1"/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7" fillId="0" borderId="0" xfId="1" applyFont="1" applyFill="1" applyBorder="1" applyAlignment="1">
      <alignment horizontal="center"/>
    </xf>
    <xf numFmtId="164" fontId="7" fillId="0" borderId="0" xfId="1" applyFont="1" applyFill="1" applyBorder="1" applyAlignment="1"/>
    <xf numFmtId="164" fontId="5" fillId="0" borderId="0" xfId="1" applyFont="1" applyFill="1" applyBorder="1" applyAlignment="1"/>
    <xf numFmtId="164" fontId="8" fillId="0" borderId="0" xfId="3" applyNumberFormat="1" applyFont="1" applyFill="1" applyBorder="1" applyAlignment="1"/>
    <xf numFmtId="2" fontId="8" fillId="0" borderId="0" xfId="3" applyNumberFormat="1" applyFont="1" applyFill="1" applyBorder="1" applyAlignment="1">
      <alignment horizontal="right"/>
    </xf>
    <xf numFmtId="168" fontId="8" fillId="0" borderId="0" xfId="3" applyNumberFormat="1" applyFont="1" applyFill="1" applyBorder="1" applyAlignment="1"/>
    <xf numFmtId="0" fontId="10" fillId="0" borderId="0" xfId="4" applyFont="1" applyFill="1" applyBorder="1" applyAlignment="1">
      <alignment horizontal="center"/>
    </xf>
    <xf numFmtId="164" fontId="10" fillId="0" borderId="0" xfId="4" applyNumberFormat="1" applyFont="1" applyFill="1" applyBorder="1" applyAlignment="1"/>
    <xf numFmtId="10" fontId="8" fillId="0" borderId="0" xfId="3" applyNumberFormat="1" applyFont="1" applyFill="1" applyBorder="1" applyAlignment="1"/>
    <xf numFmtId="164" fontId="8" fillId="0" borderId="0" xfId="3" applyNumberFormat="1" applyFont="1" applyFill="1" applyBorder="1" applyAlignment="1">
      <alignment wrapText="1"/>
    </xf>
    <xf numFmtId="2" fontId="8" fillId="0" borderId="0" xfId="3" applyNumberFormat="1" applyFont="1" applyFill="1" applyBorder="1" applyAlignment="1">
      <alignment horizontal="right" wrapText="1"/>
    </xf>
    <xf numFmtId="168" fontId="8" fillId="0" borderId="0" xfId="3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9" fillId="0" borderId="0" xfId="0" applyFont="1"/>
    <xf numFmtId="0" fontId="12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170" fontId="0" fillId="0" borderId="0" xfId="0" applyNumberFormat="1"/>
    <xf numFmtId="171" fontId="5" fillId="0" borderId="0" xfId="0" applyNumberFormat="1" applyFont="1" applyAlignment="1">
      <alignment horizontal="center"/>
    </xf>
    <xf numFmtId="4" fontId="5" fillId="0" borderId="0" xfId="1" applyNumberFormat="1" applyFont="1" applyBorder="1" applyAlignment="1">
      <alignment horizontal="center"/>
    </xf>
    <xf numFmtId="10" fontId="5" fillId="0" borderId="0" xfId="0" applyNumberFormat="1" applyFont="1" applyAlignment="1">
      <alignment horizontal="center"/>
    </xf>
    <xf numFmtId="165" fontId="5" fillId="0" borderId="0" xfId="1" applyNumberFormat="1" applyFont="1" applyBorder="1" applyAlignment="1">
      <alignment horizontal="center"/>
    </xf>
    <xf numFmtId="9" fontId="5" fillId="0" borderId="0" xfId="0" applyNumberFormat="1" applyFont="1" applyAlignment="1">
      <alignment horizontal="center"/>
    </xf>
    <xf numFmtId="10" fontId="5" fillId="0" borderId="0" xfId="2" applyNumberFormat="1" applyFont="1" applyBorder="1" applyAlignment="1">
      <alignment horizontal="center"/>
    </xf>
    <xf numFmtId="170" fontId="10" fillId="0" borderId="0" xfId="0" applyNumberFormat="1" applyFont="1"/>
    <xf numFmtId="0" fontId="13" fillId="0" borderId="0" xfId="0" applyFont="1"/>
    <xf numFmtId="4" fontId="5" fillId="0" borderId="0" xfId="5" applyNumberFormat="1" applyFont="1" applyAlignment="1">
      <alignment vertical="center" wrapText="1"/>
    </xf>
    <xf numFmtId="10" fontId="5" fillId="0" borderId="0" xfId="2" applyNumberFormat="1" applyFont="1" applyAlignment="1">
      <alignment horizontal="center" vertical="center"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4" fontId="5" fillId="0" borderId="0" xfId="0" applyNumberFormat="1" applyFont="1" applyAlignment="1">
      <alignment horizontal="center"/>
    </xf>
    <xf numFmtId="0" fontId="15" fillId="0" borderId="0" xfId="0" applyFont="1"/>
    <xf numFmtId="9" fontId="7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173" fontId="0" fillId="0" borderId="0" xfId="0" applyNumberFormat="1"/>
    <xf numFmtId="9" fontId="5" fillId="0" borderId="0" xfId="2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169" fontId="5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0" fontId="0" fillId="0" borderId="0" xfId="0" applyNumberForma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6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/>
    <xf numFmtId="165" fontId="5" fillId="0" borderId="16" xfId="0" applyNumberFormat="1" applyFont="1" applyBorder="1" applyAlignment="1">
      <alignment horizontal="left"/>
    </xf>
    <xf numFmtId="14" fontId="5" fillId="0" borderId="16" xfId="0" applyNumberFormat="1" applyFont="1" applyBorder="1"/>
    <xf numFmtId="0" fontId="7" fillId="0" borderId="16" xfId="0" applyFont="1" applyBorder="1"/>
    <xf numFmtId="0" fontId="5" fillId="4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/>
    </xf>
    <xf numFmtId="164" fontId="5" fillId="4" borderId="2" xfId="1" applyFont="1" applyFill="1" applyBorder="1" applyAlignment="1">
      <alignment horizontal="center"/>
    </xf>
    <xf numFmtId="164" fontId="5" fillId="6" borderId="2" xfId="1" applyFont="1" applyFill="1" applyBorder="1" applyAlignment="1">
      <alignment horizontal="center"/>
    </xf>
    <xf numFmtId="0" fontId="5" fillId="6" borderId="2" xfId="0" applyFont="1" applyFill="1" applyBorder="1" applyAlignment="1">
      <alignment horizontal="left" vertical="top"/>
    </xf>
    <xf numFmtId="0" fontId="5" fillId="6" borderId="2" xfId="0" applyFont="1" applyFill="1" applyBorder="1" applyAlignment="1">
      <alignment horizontal="center"/>
    </xf>
    <xf numFmtId="2" fontId="18" fillId="5" borderId="2" xfId="6" applyNumberFormat="1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left"/>
    </xf>
    <xf numFmtId="0" fontId="18" fillId="5" borderId="2" xfId="0" applyFont="1" applyFill="1" applyBorder="1" applyAlignment="1">
      <alignment horizontal="center"/>
    </xf>
    <xf numFmtId="164" fontId="18" fillId="5" borderId="2" xfId="1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left"/>
    </xf>
    <xf numFmtId="0" fontId="17" fillId="5" borderId="2" xfId="0" applyFont="1" applyFill="1" applyBorder="1" applyAlignment="1">
      <alignment horizontal="right"/>
    </xf>
    <xf numFmtId="4" fontId="17" fillId="5" borderId="2" xfId="0" applyNumberFormat="1" applyFont="1" applyFill="1" applyBorder="1" applyAlignment="1">
      <alignment horizontal="right"/>
    </xf>
    <xf numFmtId="164" fontId="17" fillId="5" borderId="2" xfId="1" applyFont="1" applyFill="1" applyBorder="1" applyAlignment="1">
      <alignment horizontal="center"/>
    </xf>
    <xf numFmtId="164" fontId="17" fillId="5" borderId="2" xfId="1" applyFont="1" applyFill="1" applyBorder="1" applyAlignment="1">
      <alignment wrapText="1"/>
    </xf>
    <xf numFmtId="164" fontId="7" fillId="6" borderId="2" xfId="1" applyFont="1" applyFill="1" applyBorder="1" applyAlignment="1">
      <alignment horizontal="center"/>
    </xf>
    <xf numFmtId="164" fontId="7" fillId="6" borderId="2" xfId="0" applyNumberFormat="1" applyFont="1" applyFill="1" applyBorder="1" applyAlignment="1">
      <alignment horizontal="center" vertical="center"/>
    </xf>
    <xf numFmtId="10" fontId="7" fillId="6" borderId="2" xfId="0" applyNumberFormat="1" applyFont="1" applyFill="1" applyBorder="1" applyAlignment="1">
      <alignment horizontal="center"/>
    </xf>
    <xf numFmtId="164" fontId="7" fillId="5" borderId="2" xfId="0" applyNumberFormat="1" applyFont="1" applyFill="1" applyBorder="1" applyAlignment="1">
      <alignment horizontal="center"/>
    </xf>
    <xf numFmtId="164" fontId="7" fillId="5" borderId="2" xfId="0" applyNumberFormat="1" applyFont="1" applyFill="1" applyBorder="1" applyAlignment="1">
      <alignment horizontal="center" vertical="center"/>
    </xf>
    <xf numFmtId="174" fontId="7" fillId="6" borderId="2" xfId="1" applyNumberFormat="1" applyFont="1" applyFill="1" applyBorder="1" applyAlignment="1">
      <alignment horizontal="center"/>
    </xf>
    <xf numFmtId="174" fontId="7" fillId="6" borderId="2" xfId="0" applyNumberFormat="1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wrapText="1"/>
    </xf>
    <xf numFmtId="4" fontId="18" fillId="5" borderId="2" xfId="0" applyNumberFormat="1" applyFont="1" applyFill="1" applyBorder="1" applyAlignment="1">
      <alignment horizontal="center"/>
    </xf>
    <xf numFmtId="0" fontId="7" fillId="6" borderId="2" xfId="0" applyFont="1" applyFill="1" applyBorder="1" applyAlignment="1">
      <alignment horizontal="left" vertical="top"/>
    </xf>
    <xf numFmtId="0" fontId="7" fillId="6" borderId="2" xfId="0" applyFont="1" applyFill="1" applyBorder="1" applyAlignment="1">
      <alignment horizontal="center"/>
    </xf>
    <xf numFmtId="164" fontId="5" fillId="5" borderId="2" xfId="0" applyNumberFormat="1" applyFont="1" applyFill="1" applyBorder="1" applyAlignment="1">
      <alignment horizontal="center"/>
    </xf>
    <xf numFmtId="164" fontId="18" fillId="5" borderId="2" xfId="1" applyFont="1" applyFill="1" applyBorder="1" applyAlignment="1">
      <alignment wrapText="1"/>
    </xf>
    <xf numFmtId="164" fontId="5" fillId="5" borderId="2" xfId="0" applyNumberFormat="1" applyFont="1" applyFill="1" applyBorder="1" applyAlignment="1">
      <alignment horizontal="center" vertical="center"/>
    </xf>
    <xf numFmtId="167" fontId="17" fillId="5" borderId="2" xfId="1" applyNumberFormat="1" applyFont="1" applyFill="1" applyBorder="1" applyAlignment="1">
      <alignment horizontal="center"/>
    </xf>
    <xf numFmtId="175" fontId="7" fillId="6" borderId="2" xfId="1" applyNumberFormat="1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18" fillId="5" borderId="2" xfId="0" applyFont="1" applyFill="1" applyBorder="1" applyAlignment="1">
      <alignment horizontal="left" wrapText="1"/>
    </xf>
    <xf numFmtId="0" fontId="17" fillId="5" borderId="2" xfId="0" applyFont="1" applyFill="1" applyBorder="1" applyAlignment="1">
      <alignment horizontal="left" wrapText="1"/>
    </xf>
    <xf numFmtId="4" fontId="17" fillId="5" borderId="2" xfId="7" applyNumberFormat="1" applyFont="1" applyFill="1" applyBorder="1" applyAlignment="1">
      <alignment horizontal="right" vertical="center"/>
    </xf>
    <xf numFmtId="176" fontId="7" fillId="6" borderId="2" xfId="1" applyNumberFormat="1" applyFont="1" applyFill="1" applyBorder="1" applyAlignment="1">
      <alignment horizontal="center"/>
    </xf>
    <xf numFmtId="177" fontId="7" fillId="6" borderId="2" xfId="1" applyNumberFormat="1" applyFont="1" applyFill="1" applyBorder="1" applyAlignment="1">
      <alignment horizontal="center"/>
    </xf>
    <xf numFmtId="0" fontId="18" fillId="5" borderId="2" xfId="0" applyFont="1" applyFill="1" applyBorder="1" applyAlignment="1">
      <alignment vertical="center"/>
    </xf>
    <xf numFmtId="0" fontId="17" fillId="5" borderId="2" xfId="0" applyFont="1" applyFill="1" applyBorder="1" applyAlignment="1">
      <alignment vertical="center" wrapText="1"/>
    </xf>
    <xf numFmtId="0" fontId="17" fillId="5" borderId="2" xfId="8" applyFill="1" applyBorder="1" applyAlignment="1">
      <alignment horizontal="right" vertical="center" wrapText="1"/>
    </xf>
    <xf numFmtId="169" fontId="17" fillId="5" borderId="2" xfId="0" applyNumberFormat="1" applyFont="1" applyFill="1" applyBorder="1" applyAlignment="1">
      <alignment vertical="center"/>
    </xf>
    <xf numFmtId="0" fontId="17" fillId="5" borderId="2" xfId="0" applyFont="1" applyFill="1" applyBorder="1" applyAlignment="1">
      <alignment horizontal="right" vertical="center"/>
    </xf>
    <xf numFmtId="0" fontId="17" fillId="5" borderId="2" xfId="0" applyFont="1" applyFill="1" applyBorder="1" applyAlignment="1">
      <alignment vertical="center"/>
    </xf>
    <xf numFmtId="0" fontId="17" fillId="5" borderId="2" xfId="0" applyFont="1" applyFill="1" applyBorder="1" applyAlignment="1">
      <alignment wrapText="1"/>
    </xf>
    <xf numFmtId="164" fontId="17" fillId="5" borderId="2" xfId="1" applyFont="1" applyFill="1" applyBorder="1" applyAlignment="1">
      <alignment vertical="center" wrapText="1"/>
    </xf>
    <xf numFmtId="164" fontId="18" fillId="5" borderId="2" xfId="1" applyFont="1" applyFill="1" applyBorder="1" applyAlignment="1">
      <alignment vertical="center" wrapText="1"/>
    </xf>
    <xf numFmtId="0" fontId="17" fillId="5" borderId="2" xfId="0" applyFont="1" applyFill="1" applyBorder="1" applyAlignment="1">
      <alignment horizontal="left" vertical="center" wrapText="1"/>
    </xf>
    <xf numFmtId="164" fontId="7" fillId="6" borderId="2" xfId="1" applyFont="1" applyFill="1" applyBorder="1" applyAlignment="1">
      <alignment horizontal="center" vertical="center"/>
    </xf>
    <xf numFmtId="10" fontId="7" fillId="6" borderId="2" xfId="0" applyNumberFormat="1" applyFont="1" applyFill="1" applyBorder="1" applyAlignment="1">
      <alignment horizontal="center" vertical="center"/>
    </xf>
    <xf numFmtId="0" fontId="18" fillId="5" borderId="2" xfId="0" applyFont="1" applyFill="1" applyBorder="1"/>
    <xf numFmtId="164" fontId="18" fillId="5" borderId="2" xfId="9" applyFont="1" applyFill="1" applyBorder="1" applyAlignment="1">
      <alignment horizontal="center"/>
    </xf>
    <xf numFmtId="0" fontId="20" fillId="5" borderId="2" xfId="0" applyFont="1" applyFill="1" applyBorder="1"/>
    <xf numFmtId="164" fontId="20" fillId="5" borderId="2" xfId="0" applyNumberFormat="1" applyFont="1" applyFill="1" applyBorder="1"/>
    <xf numFmtId="39" fontId="5" fillId="5" borderId="2" xfId="0" applyNumberFormat="1" applyFont="1" applyFill="1" applyBorder="1" applyAlignment="1">
      <alignment horizontal="center"/>
    </xf>
    <xf numFmtId="178" fontId="7" fillId="0" borderId="0" xfId="0" applyNumberFormat="1" applyFont="1"/>
    <xf numFmtId="4" fontId="5" fillId="0" borderId="0" xfId="0" applyNumberFormat="1" applyFont="1"/>
    <xf numFmtId="179" fontId="5" fillId="0" borderId="0" xfId="0" applyNumberFormat="1" applyFont="1"/>
    <xf numFmtId="0" fontId="10" fillId="0" borderId="0" xfId="0" applyFont="1"/>
    <xf numFmtId="164" fontId="21" fillId="0" borderId="0" xfId="9" applyFont="1" applyFill="1" applyBorder="1" applyAlignment="1">
      <alignment horizontal="center"/>
    </xf>
    <xf numFmtId="164" fontId="9" fillId="0" borderId="0" xfId="0" applyNumberFormat="1" applyFont="1"/>
    <xf numFmtId="164" fontId="7" fillId="0" borderId="0" xfId="1" applyFont="1" applyFill="1" applyBorder="1"/>
    <xf numFmtId="2" fontId="7" fillId="0" borderId="0" xfId="0" applyNumberFormat="1" applyFont="1" applyAlignment="1">
      <alignment horizontal="right"/>
    </xf>
    <xf numFmtId="164" fontId="7" fillId="0" borderId="0" xfId="2" applyNumberFormat="1" applyFont="1" applyFill="1" applyBorder="1" applyAlignment="1">
      <alignment horizontal="center"/>
    </xf>
    <xf numFmtId="0" fontId="7" fillId="0" borderId="0" xfId="1" applyNumberFormat="1" applyFont="1" applyFill="1" applyBorder="1" applyAlignment="1">
      <alignment horizontal="center"/>
    </xf>
    <xf numFmtId="179" fontId="5" fillId="0" borderId="0" xfId="1" applyNumberFormat="1" applyFont="1" applyFill="1" applyBorder="1" applyAlignment="1">
      <alignment wrapText="1"/>
    </xf>
    <xf numFmtId="4" fontId="5" fillId="0" borderId="0" xfId="1" applyNumberFormat="1" applyFont="1" applyFill="1" applyBorder="1"/>
    <xf numFmtId="164" fontId="5" fillId="0" borderId="0" xfId="1" applyFont="1" applyFill="1" applyBorder="1"/>
    <xf numFmtId="0" fontId="5" fillId="0" borderId="0" xfId="0" applyFont="1" applyAlignment="1">
      <alignment vertical="center" wrapText="1"/>
    </xf>
    <xf numFmtId="0" fontId="6" fillId="0" borderId="0" xfId="0" applyFont="1"/>
    <xf numFmtId="164" fontId="10" fillId="0" borderId="0" xfId="1" applyFont="1" applyBorder="1" applyAlignment="1">
      <alignment horizontal="right"/>
    </xf>
    <xf numFmtId="0" fontId="5" fillId="0" borderId="0" xfId="0" applyFont="1" applyAlignment="1">
      <alignment horizontal="right" vertical="center"/>
    </xf>
    <xf numFmtId="9" fontId="5" fillId="0" borderId="0" xfId="2" applyFont="1" applyBorder="1"/>
    <xf numFmtId="180" fontId="5" fillId="0" borderId="0" xfId="0" applyNumberFormat="1" applyFont="1"/>
    <xf numFmtId="165" fontId="7" fillId="0" borderId="0" xfId="0" applyNumberFormat="1" applyFont="1"/>
    <xf numFmtId="4" fontId="0" fillId="0" borderId="0" xfId="0" applyNumberFormat="1"/>
    <xf numFmtId="0" fontId="7" fillId="0" borderId="0" xfId="0" applyFont="1" applyAlignment="1">
      <alignment horizontal="left" vertical="top"/>
    </xf>
    <xf numFmtId="4" fontId="5" fillId="0" borderId="0" xfId="1" applyNumberFormat="1" applyFont="1" applyBorder="1"/>
    <xf numFmtId="165" fontId="5" fillId="0" borderId="0" xfId="0" applyNumberFormat="1" applyFont="1"/>
    <xf numFmtId="169" fontId="5" fillId="0" borderId="0" xfId="1" applyNumberFormat="1" applyFont="1" applyBorder="1" applyAlignment="1">
      <alignment horizontal="right" indent="2"/>
    </xf>
    <xf numFmtId="169" fontId="5" fillId="0" borderId="0" xfId="1" applyNumberFormat="1" applyFont="1" applyBorder="1" applyAlignment="1">
      <alignment horizontal="right"/>
    </xf>
    <xf numFmtId="169" fontId="22" fillId="0" borderId="0" xfId="1" applyNumberFormat="1" applyFont="1" applyBorder="1" applyAlignment="1">
      <alignment horizontal="right"/>
    </xf>
    <xf numFmtId="180" fontId="5" fillId="0" borderId="0" xfId="1" applyNumberFormat="1" applyFont="1" applyBorder="1" applyAlignment="1">
      <alignment horizontal="center"/>
    </xf>
    <xf numFmtId="9" fontId="13" fillId="0" borderId="0" xfId="0" applyNumberFormat="1" applyFont="1" applyAlignment="1">
      <alignment horizontal="center"/>
    </xf>
    <xf numFmtId="169" fontId="13" fillId="0" borderId="0" xfId="1" applyNumberFormat="1" applyFont="1" applyBorder="1" applyAlignment="1">
      <alignment horizontal="center"/>
    </xf>
    <xf numFmtId="169" fontId="13" fillId="0" borderId="0" xfId="0" applyNumberFormat="1" applyFont="1" applyAlignment="1">
      <alignment horizontal="center"/>
    </xf>
    <xf numFmtId="180" fontId="5" fillId="0" borderId="0" xfId="1" applyNumberFormat="1" applyFont="1" applyBorder="1"/>
    <xf numFmtId="165" fontId="5" fillId="0" borderId="0" xfId="0" applyNumberFormat="1" applyFont="1" applyAlignment="1">
      <alignment horizontal="center"/>
    </xf>
    <xf numFmtId="10" fontId="4" fillId="0" borderId="0" xfId="0" applyNumberFormat="1" applyFont="1"/>
    <xf numFmtId="17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center"/>
    </xf>
    <xf numFmtId="180" fontId="7" fillId="0" borderId="0" xfId="1" applyNumberFormat="1" applyFont="1" applyBorder="1"/>
    <xf numFmtId="181" fontId="0" fillId="0" borderId="0" xfId="0" applyNumberFormat="1"/>
    <xf numFmtId="4" fontId="7" fillId="0" borderId="0" xfId="0" applyNumberFormat="1" applyFont="1"/>
    <xf numFmtId="4" fontId="5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13" fillId="0" borderId="0" xfId="1" applyNumberFormat="1" applyFont="1" applyBorder="1"/>
    <xf numFmtId="182" fontId="13" fillId="0" borderId="0" xfId="1" applyNumberFormat="1" applyFont="1" applyBorder="1"/>
    <xf numFmtId="182" fontId="7" fillId="0" borderId="0" xfId="0" applyNumberFormat="1" applyFont="1"/>
    <xf numFmtId="182" fontId="7" fillId="0" borderId="0" xfId="0" applyNumberFormat="1" applyFont="1" applyAlignment="1">
      <alignment horizontal="center"/>
    </xf>
    <xf numFmtId="182" fontId="13" fillId="0" borderId="0" xfId="0" applyNumberFormat="1" applyFont="1" applyAlignment="1">
      <alignment horizontal="center"/>
    </xf>
    <xf numFmtId="179" fontId="13" fillId="0" borderId="0" xfId="0" applyNumberFormat="1" applyFont="1" applyAlignment="1">
      <alignment horizontal="center"/>
    </xf>
    <xf numFmtId="0" fontId="4" fillId="0" borderId="0" xfId="0" applyFont="1"/>
    <xf numFmtId="169" fontId="5" fillId="0" borderId="0" xfId="0" applyNumberFormat="1" applyFont="1"/>
    <xf numFmtId="0" fontId="9" fillId="0" borderId="0" xfId="0" applyFont="1" applyAlignment="1">
      <alignment vertical="center"/>
    </xf>
    <xf numFmtId="2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0" xfId="0" applyNumberFormat="1" applyFont="1"/>
    <xf numFmtId="2" fontId="7" fillId="0" borderId="0" xfId="0" applyNumberFormat="1" applyFont="1"/>
    <xf numFmtId="183" fontId="5" fillId="0" borderId="0" xfId="0" applyNumberFormat="1" applyFont="1"/>
    <xf numFmtId="164" fontId="7" fillId="0" borderId="0" xfId="0" applyNumberFormat="1" applyFont="1"/>
    <xf numFmtId="184" fontId="7" fillId="0" borderId="0" xfId="0" applyNumberFormat="1" applyFont="1"/>
    <xf numFmtId="17" fontId="5" fillId="0" borderId="0" xfId="0" applyNumberFormat="1" applyFont="1"/>
    <xf numFmtId="164" fontId="5" fillId="0" borderId="0" xfId="0" applyNumberFormat="1" applyFont="1" applyAlignment="1">
      <alignment horizontal="right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wrapText="1"/>
    </xf>
    <xf numFmtId="2" fontId="5" fillId="4" borderId="2" xfId="0" applyNumberFormat="1" applyFont="1" applyFill="1" applyBorder="1" applyAlignment="1">
      <alignment horizontal="center" wrapText="1"/>
    </xf>
    <xf numFmtId="4" fontId="5" fillId="4" borderId="2" xfId="1" applyNumberFormat="1" applyFont="1" applyFill="1" applyBorder="1" applyAlignment="1">
      <alignment horizontal="center" wrapText="1"/>
    </xf>
    <xf numFmtId="164" fontId="5" fillId="10" borderId="2" xfId="1" applyFont="1" applyFill="1" applyBorder="1" applyAlignment="1">
      <alignment horizontal="center" wrapText="1"/>
    </xf>
    <xf numFmtId="0" fontId="5" fillId="10" borderId="2" xfId="0" applyFont="1" applyFill="1" applyBorder="1" applyAlignment="1">
      <alignment horizontal="center" vertical="top" wrapText="1"/>
    </xf>
    <xf numFmtId="0" fontId="5" fillId="10" borderId="2" xfId="0" applyFont="1" applyFill="1" applyBorder="1" applyAlignment="1">
      <alignment horizontal="center" wrapText="1"/>
    </xf>
    <xf numFmtId="0" fontId="5" fillId="11" borderId="2" xfId="0" applyFont="1" applyFill="1" applyBorder="1" applyAlignment="1">
      <alignment horizontal="center" wrapText="1"/>
    </xf>
    <xf numFmtId="164" fontId="5" fillId="11" borderId="2" xfId="1" applyFont="1" applyFill="1" applyBorder="1" applyAlignment="1">
      <alignment horizontal="center" wrapText="1"/>
    </xf>
    <xf numFmtId="166" fontId="5" fillId="5" borderId="2" xfId="0" applyNumberFormat="1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wrapText="1"/>
    </xf>
    <xf numFmtId="2" fontId="7" fillId="5" borderId="2" xfId="0" applyNumberFormat="1" applyFont="1" applyFill="1" applyBorder="1" applyAlignment="1">
      <alignment horizontal="center" wrapText="1"/>
    </xf>
    <xf numFmtId="4" fontId="7" fillId="5" borderId="2" xfId="1" applyNumberFormat="1" applyFont="1" applyFill="1" applyBorder="1" applyAlignment="1">
      <alignment wrapText="1"/>
    </xf>
    <xf numFmtId="4" fontId="5" fillId="5" borderId="2" xfId="1" applyNumberFormat="1" applyFont="1" applyFill="1" applyBorder="1" applyAlignment="1">
      <alignment wrapText="1"/>
    </xf>
    <xf numFmtId="164" fontId="7" fillId="12" borderId="2" xfId="1" applyFont="1" applyFill="1" applyBorder="1" applyAlignment="1">
      <alignment wrapText="1"/>
    </xf>
    <xf numFmtId="0" fontId="5" fillId="12" borderId="2" xfId="0" applyFont="1" applyFill="1" applyBorder="1" applyAlignment="1">
      <alignment horizontal="left" vertical="top" wrapText="1"/>
    </xf>
    <xf numFmtId="10" fontId="5" fillId="12" borderId="2" xfId="0" applyNumberFormat="1" applyFont="1" applyFill="1" applyBorder="1" applyAlignment="1">
      <alignment wrapText="1"/>
    </xf>
    <xf numFmtId="0" fontId="7" fillId="13" borderId="2" xfId="0" applyFont="1" applyFill="1" applyBorder="1" applyAlignment="1">
      <alignment horizontal="center" wrapText="1"/>
    </xf>
    <xf numFmtId="164" fontId="7" fillId="13" borderId="2" xfId="1" applyFont="1" applyFill="1" applyBorder="1" applyAlignment="1">
      <alignment wrapText="1"/>
    </xf>
    <xf numFmtId="2" fontId="5" fillId="5" borderId="2" xfId="0" applyNumberFormat="1" applyFont="1" applyFill="1" applyBorder="1" applyAlignment="1">
      <alignment horizontal="center" vertical="top" wrapText="1"/>
    </xf>
    <xf numFmtId="2" fontId="7" fillId="5" borderId="2" xfId="1" applyNumberFormat="1" applyFont="1" applyFill="1" applyBorder="1" applyAlignment="1">
      <alignment wrapText="1"/>
    </xf>
    <xf numFmtId="164" fontId="10" fillId="12" borderId="2" xfId="1" applyFont="1" applyFill="1" applyBorder="1" applyAlignment="1">
      <alignment wrapText="1"/>
    </xf>
    <xf numFmtId="2" fontId="7" fillId="12" borderId="2" xfId="0" applyNumberFormat="1" applyFont="1" applyFill="1" applyBorder="1" applyAlignment="1">
      <alignment horizontal="right" wrapText="1"/>
    </xf>
    <xf numFmtId="10" fontId="7" fillId="12" borderId="2" xfId="1" applyNumberFormat="1" applyFont="1" applyFill="1" applyBorder="1" applyAlignment="1">
      <alignment wrapText="1"/>
    </xf>
    <xf numFmtId="164" fontId="7" fillId="13" borderId="2" xfId="1" applyFont="1" applyFill="1" applyBorder="1" applyAlignment="1">
      <alignment horizontal="center" wrapText="1"/>
    </xf>
    <xf numFmtId="2" fontId="7" fillId="5" borderId="2" xfId="0" applyNumberFormat="1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right" wrapText="1"/>
    </xf>
    <xf numFmtId="185" fontId="7" fillId="5" borderId="2" xfId="1" applyNumberFormat="1" applyFont="1" applyFill="1" applyBorder="1" applyAlignment="1">
      <alignment wrapText="1"/>
    </xf>
    <xf numFmtId="185" fontId="0" fillId="0" borderId="0" xfId="0" applyNumberFormat="1"/>
    <xf numFmtId="0" fontId="10" fillId="5" borderId="2" xfId="0" applyFont="1" applyFill="1" applyBorder="1" applyAlignment="1">
      <alignment vertical="center" wrapText="1"/>
    </xf>
    <xf numFmtId="164" fontId="5" fillId="13" borderId="2" xfId="1" applyFont="1" applyFill="1" applyBorder="1" applyAlignment="1">
      <alignment wrapText="1"/>
    </xf>
    <xf numFmtId="164" fontId="5" fillId="13" borderId="2" xfId="1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wrapText="1"/>
    </xf>
    <xf numFmtId="164" fontId="23" fillId="12" borderId="2" xfId="1" applyFont="1" applyFill="1" applyBorder="1" applyAlignment="1">
      <alignment wrapText="1"/>
    </xf>
    <xf numFmtId="0" fontId="5" fillId="5" borderId="2" xfId="0" applyFont="1" applyFill="1" applyBorder="1" applyAlignment="1">
      <alignment horizontal="right" wrapText="1"/>
    </xf>
    <xf numFmtId="2" fontId="5" fillId="5" borderId="2" xfId="1" applyNumberFormat="1" applyFont="1" applyFill="1" applyBorder="1" applyAlignment="1">
      <alignment wrapText="1"/>
    </xf>
    <xf numFmtId="164" fontId="5" fillId="13" borderId="2" xfId="0" applyNumberFormat="1" applyFont="1" applyFill="1" applyBorder="1" applyAlignment="1">
      <alignment horizontal="center" wrapText="1"/>
    </xf>
    <xf numFmtId="164" fontId="7" fillId="12" borderId="2" xfId="0" applyNumberFormat="1" applyFont="1" applyFill="1" applyBorder="1" applyAlignment="1">
      <alignment horizontal="right" wrapText="1"/>
    </xf>
    <xf numFmtId="186" fontId="10" fillId="12" borderId="2" xfId="1" applyNumberFormat="1" applyFont="1" applyFill="1" applyBorder="1" applyAlignment="1">
      <alignment wrapText="1"/>
    </xf>
    <xf numFmtId="2" fontId="7" fillId="5" borderId="2" xfId="0" applyNumberFormat="1" applyFont="1" applyFill="1" applyBorder="1" applyAlignment="1">
      <alignment horizontal="center" vertical="center" wrapText="1"/>
    </xf>
    <xf numFmtId="177" fontId="10" fillId="12" borderId="2" xfId="1" applyNumberFormat="1" applyFont="1" applyFill="1" applyBorder="1" applyAlignment="1">
      <alignment wrapText="1"/>
    </xf>
    <xf numFmtId="187" fontId="0" fillId="0" borderId="0" xfId="0" applyNumberFormat="1"/>
    <xf numFmtId="0" fontId="5" fillId="5" borderId="2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left" wrapText="1"/>
    </xf>
    <xf numFmtId="188" fontId="7" fillId="5" borderId="2" xfId="1" applyNumberFormat="1" applyFont="1" applyFill="1" applyBorder="1" applyAlignment="1">
      <alignment wrapText="1"/>
    </xf>
    <xf numFmtId="189" fontId="7" fillId="12" borderId="2" xfId="1" applyNumberFormat="1" applyFont="1" applyFill="1" applyBorder="1" applyAlignment="1">
      <alignment wrapText="1"/>
    </xf>
    <xf numFmtId="190" fontId="7" fillId="13" borderId="2" xfId="1" applyNumberFormat="1" applyFont="1" applyFill="1" applyBorder="1" applyAlignment="1">
      <alignment wrapText="1"/>
    </xf>
    <xf numFmtId="190" fontId="5" fillId="13" borderId="2" xfId="0" applyNumberFormat="1" applyFont="1" applyFill="1" applyBorder="1" applyAlignment="1">
      <alignment horizontal="right" wrapText="1"/>
    </xf>
    <xf numFmtId="10" fontId="7" fillId="12" borderId="2" xfId="2" applyNumberFormat="1" applyFont="1" applyFill="1" applyBorder="1" applyAlignment="1">
      <alignment horizontal="center" wrapText="1"/>
    </xf>
    <xf numFmtId="164" fontId="0" fillId="0" borderId="0" xfId="0" applyNumberFormat="1"/>
    <xf numFmtId="177" fontId="7" fillId="12" borderId="2" xfId="1" applyNumberFormat="1" applyFont="1" applyFill="1" applyBorder="1" applyAlignment="1">
      <alignment wrapText="1"/>
    </xf>
    <xf numFmtId="177" fontId="0" fillId="0" borderId="0" xfId="0" applyNumberFormat="1"/>
    <xf numFmtId="2" fontId="7" fillId="13" borderId="2" xfId="0" applyNumberFormat="1" applyFont="1" applyFill="1" applyBorder="1" applyAlignment="1">
      <alignment horizontal="center" wrapText="1"/>
    </xf>
    <xf numFmtId="4" fontId="7" fillId="13" borderId="2" xfId="1" applyNumberFormat="1" applyFont="1" applyFill="1" applyBorder="1" applyAlignment="1">
      <alignment horizontal="right" wrapText="1"/>
    </xf>
    <xf numFmtId="4" fontId="7" fillId="13" borderId="2" xfId="1" applyNumberFormat="1" applyFont="1" applyFill="1" applyBorder="1" applyAlignment="1">
      <alignment wrapText="1"/>
    </xf>
    <xf numFmtId="0" fontId="5" fillId="5" borderId="2" xfId="0" applyFont="1" applyFill="1" applyBorder="1" applyAlignment="1">
      <alignment horizontal="left" wrapText="1"/>
    </xf>
    <xf numFmtId="4" fontId="5" fillId="13" borderId="2" xfId="0" applyNumberFormat="1" applyFont="1" applyFill="1" applyBorder="1" applyAlignment="1">
      <alignment horizontal="right" wrapText="1"/>
    </xf>
    <xf numFmtId="4" fontId="5" fillId="13" borderId="2" xfId="1" applyNumberFormat="1" applyFont="1" applyFill="1" applyBorder="1" applyAlignment="1">
      <alignment wrapText="1"/>
    </xf>
    <xf numFmtId="179" fontId="5" fillId="13" borderId="2" xfId="0" applyNumberFormat="1" applyFont="1" applyFill="1" applyBorder="1" applyAlignment="1">
      <alignment horizontal="center" wrapText="1"/>
    </xf>
    <xf numFmtId="179" fontId="5" fillId="13" borderId="2" xfId="1" applyNumberFormat="1" applyFont="1" applyFill="1" applyBorder="1" applyAlignment="1">
      <alignment wrapText="1"/>
    </xf>
    <xf numFmtId="184" fontId="7" fillId="12" borderId="2" xfId="1" applyNumberFormat="1" applyFont="1" applyFill="1" applyBorder="1" applyAlignment="1">
      <alignment wrapText="1"/>
    </xf>
    <xf numFmtId="0" fontId="7" fillId="5" borderId="2" xfId="0" applyFont="1" applyFill="1" applyBorder="1" applyAlignment="1">
      <alignment horizontal="right" vertical="center" wrapText="1"/>
    </xf>
    <xf numFmtId="2" fontId="7" fillId="5" borderId="2" xfId="1" applyNumberFormat="1" applyFont="1" applyFill="1" applyBorder="1" applyAlignment="1">
      <alignment vertical="center" wrapText="1"/>
    </xf>
    <xf numFmtId="4" fontId="7" fillId="5" borderId="2" xfId="1" applyNumberFormat="1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right" vertical="center" wrapText="1"/>
    </xf>
    <xf numFmtId="164" fontId="24" fillId="12" borderId="2" xfId="1" applyFont="1" applyFill="1" applyBorder="1" applyAlignment="1">
      <alignment wrapText="1"/>
    </xf>
    <xf numFmtId="2" fontId="25" fillId="0" borderId="0" xfId="0" applyNumberFormat="1" applyFont="1" applyAlignment="1">
      <alignment horizontal="center" vertical="top" wrapText="1"/>
    </xf>
    <xf numFmtId="0" fontId="18" fillId="0" borderId="0" xfId="0" applyFont="1" applyAlignment="1">
      <alignment wrapText="1"/>
    </xf>
    <xf numFmtId="164" fontId="21" fillId="0" borderId="0" xfId="1" applyFont="1" applyFill="1" applyBorder="1" applyAlignment="1">
      <alignment horizontal="center" wrapText="1"/>
    </xf>
    <xf numFmtId="2" fontId="21" fillId="0" borderId="0" xfId="1" applyNumberFormat="1" applyFont="1" applyFill="1" applyBorder="1" applyAlignment="1">
      <alignment horizontal="center" wrapText="1"/>
    </xf>
    <xf numFmtId="4" fontId="21" fillId="0" borderId="0" xfId="1" applyNumberFormat="1" applyFont="1" applyFill="1" applyBorder="1" applyAlignment="1">
      <alignment wrapText="1"/>
    </xf>
    <xf numFmtId="165" fontId="5" fillId="0" borderId="0" xfId="1" applyNumberFormat="1" applyFont="1" applyFill="1" applyBorder="1" applyAlignment="1">
      <alignment wrapText="1"/>
    </xf>
    <xf numFmtId="164" fontId="21" fillId="0" borderId="0" xfId="1" applyFont="1" applyFill="1" applyBorder="1" applyAlignment="1">
      <alignment wrapText="1"/>
    </xf>
    <xf numFmtId="164" fontId="5" fillId="0" borderId="0" xfId="1" applyFont="1" applyFill="1" applyBorder="1" applyAlignment="1">
      <alignment wrapText="1"/>
    </xf>
    <xf numFmtId="2" fontId="5" fillId="0" borderId="0" xfId="0" applyNumberFormat="1" applyFont="1" applyAlignment="1">
      <alignment horizontal="right" vertical="top" wrapText="1"/>
    </xf>
    <xf numFmtId="168" fontId="5" fillId="0" borderId="0" xfId="0" applyNumberFormat="1" applyFont="1" applyAlignment="1">
      <alignment wrapText="1"/>
    </xf>
    <xf numFmtId="40" fontId="5" fillId="0" borderId="0" xfId="1" applyNumberFormat="1" applyFont="1" applyFill="1" applyBorder="1" applyAlignment="1">
      <alignment horizontal="right" wrapText="1"/>
    </xf>
    <xf numFmtId="165" fontId="5" fillId="0" borderId="0" xfId="1" applyNumberFormat="1" applyFont="1" applyFill="1" applyBorder="1" applyAlignment="1">
      <alignment horizontal="right" wrapText="1"/>
    </xf>
    <xf numFmtId="0" fontId="17" fillId="0" borderId="0" xfId="6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wrapText="1"/>
    </xf>
    <xf numFmtId="4" fontId="7" fillId="0" borderId="0" xfId="0" applyNumberFormat="1" applyFont="1" applyAlignment="1">
      <alignment wrapText="1"/>
    </xf>
    <xf numFmtId="164" fontId="7" fillId="0" borderId="0" xfId="0" applyNumberFormat="1" applyFont="1" applyAlignment="1">
      <alignment wrapText="1"/>
    </xf>
    <xf numFmtId="191" fontId="7" fillId="0" borderId="0" xfId="0" applyNumberFormat="1" applyFont="1" applyAlignment="1">
      <alignment wrapText="1"/>
    </xf>
    <xf numFmtId="4" fontId="5" fillId="0" borderId="0" xfId="0" applyNumberFormat="1" applyFont="1" applyAlignment="1">
      <alignment wrapText="1"/>
    </xf>
    <xf numFmtId="4" fontId="18" fillId="0" borderId="0" xfId="6" applyNumberFormat="1" applyFont="1" applyAlignment="1">
      <alignment wrapText="1"/>
    </xf>
    <xf numFmtId="0" fontId="20" fillId="0" borderId="0" xfId="0" applyFont="1" applyAlignment="1">
      <alignment wrapText="1"/>
    </xf>
    <xf numFmtId="0" fontId="26" fillId="0" borderId="0" xfId="0" applyFont="1" applyAlignment="1">
      <alignment wrapText="1"/>
    </xf>
    <xf numFmtId="180" fontId="9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80" fontId="20" fillId="0" borderId="0" xfId="0" applyNumberFormat="1" applyFont="1" applyAlignment="1">
      <alignment wrapText="1"/>
    </xf>
    <xf numFmtId="165" fontId="20" fillId="0" borderId="0" xfId="0" applyNumberFormat="1" applyFont="1"/>
    <xf numFmtId="165" fontId="20" fillId="0" borderId="0" xfId="0" applyNumberFormat="1" applyFont="1" applyAlignment="1">
      <alignment wrapText="1"/>
    </xf>
    <xf numFmtId="192" fontId="5" fillId="0" borderId="0" xfId="0" applyNumberFormat="1" applyFont="1" applyAlignment="1">
      <alignment wrapText="1"/>
    </xf>
    <xf numFmtId="0" fontId="3" fillId="0" borderId="0" xfId="0" applyFont="1" applyAlignment="1">
      <alignment horizontal="center"/>
    </xf>
    <xf numFmtId="2" fontId="0" fillId="0" borderId="0" xfId="0" applyNumberFormat="1" applyAlignment="1">
      <alignment wrapText="1"/>
    </xf>
    <xf numFmtId="0" fontId="6" fillId="0" borderId="0" xfId="0" applyFont="1" applyAlignment="1">
      <alignment horizontal="center" wrapText="1"/>
    </xf>
    <xf numFmtId="2" fontId="6" fillId="0" borderId="0" xfId="0" applyNumberFormat="1" applyFont="1" applyAlignment="1">
      <alignment horizontal="center" wrapText="1"/>
    </xf>
    <xf numFmtId="4" fontId="6" fillId="0" borderId="0" xfId="0" applyNumberFormat="1" applyFont="1" applyAlignment="1">
      <alignment horizontal="center" wrapText="1"/>
    </xf>
    <xf numFmtId="4" fontId="0" fillId="0" borderId="0" xfId="0" applyNumberFormat="1" applyAlignment="1">
      <alignment wrapText="1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right" vertical="center" wrapText="1"/>
    </xf>
    <xf numFmtId="49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 wrapText="1"/>
    </xf>
    <xf numFmtId="17" fontId="5" fillId="0" borderId="0" xfId="0" applyNumberFormat="1" applyFont="1" applyAlignment="1">
      <alignment horizontal="right" wrapText="1"/>
    </xf>
    <xf numFmtId="14" fontId="5" fillId="0" borderId="0" xfId="0" applyNumberFormat="1" applyFont="1" applyAlignment="1">
      <alignment wrapText="1"/>
    </xf>
    <xf numFmtId="2" fontId="5" fillId="0" borderId="0" xfId="0" applyNumberFormat="1" applyFont="1" applyAlignment="1">
      <alignment wrapText="1"/>
    </xf>
    <xf numFmtId="4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165" fontId="5" fillId="0" borderId="0" xfId="0" applyNumberFormat="1" applyFont="1" applyAlignment="1">
      <alignment horizontal="center" wrapText="1"/>
    </xf>
    <xf numFmtId="180" fontId="5" fillId="0" borderId="0" xfId="0" applyNumberFormat="1" applyFont="1" applyAlignment="1">
      <alignment horizontal="center" wrapText="1"/>
    </xf>
    <xf numFmtId="180" fontId="5" fillId="0" borderId="0" xfId="1" applyNumberFormat="1" applyFont="1" applyBorder="1" applyAlignment="1">
      <alignment wrapText="1"/>
    </xf>
    <xf numFmtId="0" fontId="7" fillId="0" borderId="0" xfId="0" applyFont="1" applyAlignment="1">
      <alignment horizontal="left" vertical="top" wrapText="1"/>
    </xf>
    <xf numFmtId="2" fontId="5" fillId="0" borderId="0" xfId="0" applyNumberFormat="1" applyFont="1" applyAlignment="1">
      <alignment horizontal="center" wrapText="1"/>
    </xf>
    <xf numFmtId="10" fontId="5" fillId="0" borderId="0" xfId="0" applyNumberFormat="1" applyFont="1" applyAlignment="1">
      <alignment horizontal="center" wrapText="1"/>
    </xf>
    <xf numFmtId="165" fontId="5" fillId="0" borderId="0" xfId="1" applyNumberFormat="1" applyFont="1" applyBorder="1" applyAlignment="1">
      <alignment horizontal="center" wrapText="1"/>
    </xf>
    <xf numFmtId="180" fontId="5" fillId="0" borderId="0" xfId="1" applyNumberFormat="1" applyFont="1" applyBorder="1" applyAlignment="1">
      <alignment horizontal="center" wrapText="1"/>
    </xf>
    <xf numFmtId="10" fontId="5" fillId="0" borderId="0" xfId="2" applyNumberFormat="1" applyFont="1" applyBorder="1" applyAlignment="1">
      <alignment horizontal="center" wrapText="1"/>
    </xf>
    <xf numFmtId="193" fontId="5" fillId="0" borderId="0" xfId="0" applyNumberFormat="1" applyFont="1" applyAlignment="1">
      <alignment horizontal="center" wrapText="1"/>
    </xf>
    <xf numFmtId="10" fontId="22" fillId="0" borderId="0" xfId="0" applyNumberFormat="1" applyFont="1" applyAlignment="1">
      <alignment horizontal="center" wrapText="1"/>
    </xf>
    <xf numFmtId="165" fontId="22" fillId="0" borderId="0" xfId="1" applyNumberFormat="1" applyFont="1" applyBorder="1" applyAlignment="1">
      <alignment horizontal="center" wrapText="1"/>
    </xf>
    <xf numFmtId="180" fontId="22" fillId="0" borderId="0" xfId="1" applyNumberFormat="1" applyFont="1" applyBorder="1" applyAlignment="1">
      <alignment horizontal="center" wrapText="1"/>
    </xf>
    <xf numFmtId="0" fontId="13" fillId="0" borderId="0" xfId="0" applyFont="1" applyAlignment="1">
      <alignment horizontal="left"/>
    </xf>
    <xf numFmtId="2" fontId="13" fillId="0" borderId="0" xfId="0" applyNumberFormat="1" applyFont="1" applyAlignment="1">
      <alignment horizontal="center" wrapText="1"/>
    </xf>
    <xf numFmtId="165" fontId="13" fillId="0" borderId="0" xfId="1" applyNumberFormat="1" applyFont="1" applyBorder="1" applyAlignment="1">
      <alignment horizontal="center"/>
    </xf>
    <xf numFmtId="180" fontId="13" fillId="0" borderId="0" xfId="1" applyNumberFormat="1" applyFont="1" applyBorder="1" applyAlignment="1">
      <alignment horizontal="center" wrapText="1"/>
    </xf>
    <xf numFmtId="165" fontId="5" fillId="0" borderId="0" xfId="1" applyNumberFormat="1" applyFont="1" applyBorder="1" applyAlignment="1">
      <alignment wrapText="1"/>
    </xf>
    <xf numFmtId="164" fontId="5" fillId="0" borderId="0" xfId="1" applyFont="1" applyBorder="1" applyAlignment="1">
      <alignment wrapText="1"/>
    </xf>
    <xf numFmtId="165" fontId="7" fillId="0" borderId="0" xfId="0" applyNumberFormat="1" applyFont="1" applyAlignment="1">
      <alignment horizontal="left" vertical="top" wrapText="1"/>
    </xf>
    <xf numFmtId="165" fontId="7" fillId="0" borderId="0" xfId="1" applyNumberFormat="1" applyFont="1" applyBorder="1" applyAlignment="1">
      <alignment wrapText="1"/>
    </xf>
    <xf numFmtId="169" fontId="7" fillId="0" borderId="0" xfId="0" applyNumberFormat="1" applyFont="1" applyAlignment="1">
      <alignment horizontal="center" wrapText="1"/>
    </xf>
    <xf numFmtId="164" fontId="7" fillId="0" borderId="0" xfId="1" applyFont="1" applyBorder="1" applyAlignment="1">
      <alignment wrapText="1"/>
    </xf>
    <xf numFmtId="4" fontId="13" fillId="0" borderId="0" xfId="0" applyNumberFormat="1" applyFont="1" applyAlignment="1">
      <alignment horizontal="center" wrapText="1"/>
    </xf>
    <xf numFmtId="4" fontId="13" fillId="0" borderId="0" xfId="1" applyNumberFormat="1" applyFont="1" applyBorder="1" applyAlignment="1">
      <alignment horizontal="center" wrapText="1"/>
    </xf>
    <xf numFmtId="165" fontId="13" fillId="0" borderId="0" xfId="0" applyNumberFormat="1" applyFont="1" applyAlignment="1">
      <alignment horizontal="center" vertical="top" wrapText="1"/>
    </xf>
    <xf numFmtId="165" fontId="0" fillId="0" borderId="0" xfId="0" applyNumberFormat="1" applyAlignment="1">
      <alignment wrapText="1"/>
    </xf>
    <xf numFmtId="180" fontId="13" fillId="0" borderId="0" xfId="0" applyNumberFormat="1" applyFont="1" applyAlignment="1">
      <alignment horizontal="center" wrapText="1"/>
    </xf>
    <xf numFmtId="165" fontId="13" fillId="0" borderId="0" xfId="1" applyNumberFormat="1" applyFont="1" applyBorder="1" applyAlignment="1">
      <alignment horizontal="center" wrapText="1"/>
    </xf>
    <xf numFmtId="0" fontId="16" fillId="0" borderId="0" xfId="0" applyFont="1" applyAlignment="1">
      <alignment horizontal="left" wrapText="1"/>
    </xf>
    <xf numFmtId="165" fontId="7" fillId="0" borderId="0" xfId="0" applyNumberFormat="1" applyFont="1" applyAlignment="1">
      <alignment wrapText="1"/>
    </xf>
    <xf numFmtId="2" fontId="7" fillId="0" borderId="0" xfId="0" applyNumberFormat="1" applyFont="1" applyAlignment="1">
      <alignment horizontal="center" wrapText="1"/>
    </xf>
    <xf numFmtId="9" fontId="5" fillId="0" borderId="0" xfId="2" applyFont="1" applyBorder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left" vertical="top"/>
    </xf>
    <xf numFmtId="165" fontId="9" fillId="0" borderId="0" xfId="1" applyNumberFormat="1" applyFont="1" applyBorder="1" applyAlignment="1">
      <alignment horizontal="center" wrapText="1"/>
    </xf>
    <xf numFmtId="0" fontId="28" fillId="0" borderId="0" xfId="0" applyFont="1"/>
    <xf numFmtId="10" fontId="29" fillId="0" borderId="0" xfId="0" applyNumberFormat="1" applyFont="1"/>
    <xf numFmtId="179" fontId="7" fillId="0" borderId="0" xfId="1" applyNumberFormat="1" applyFont="1" applyBorder="1" applyAlignment="1">
      <alignment wrapText="1"/>
    </xf>
    <xf numFmtId="169" fontId="5" fillId="0" borderId="0" xfId="0" applyNumberFormat="1" applyFont="1" applyAlignment="1">
      <alignment horizontal="center" wrapText="1"/>
    </xf>
    <xf numFmtId="2" fontId="0" fillId="0" borderId="0" xfId="0" applyNumberFormat="1"/>
    <xf numFmtId="0" fontId="30" fillId="0" borderId="0" xfId="0" applyFont="1" applyAlignment="1">
      <alignment vertical="center" wrapText="1"/>
    </xf>
    <xf numFmtId="4" fontId="31" fillId="0" borderId="0" xfId="7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4" fontId="31" fillId="0" borderId="0" xfId="0" applyNumberFormat="1" applyFont="1" applyAlignment="1">
      <alignment horizontal="center" vertical="center" wrapText="1"/>
    </xf>
    <xf numFmtId="4" fontId="31" fillId="0" borderId="0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169" fontId="5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73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9" fillId="8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72" fontId="9" fillId="0" borderId="0" xfId="0" applyNumberFormat="1" applyFont="1" applyAlignment="1">
      <alignment horizontal="center"/>
    </xf>
    <xf numFmtId="40" fontId="9" fillId="0" borderId="0" xfId="0" applyNumberFormat="1" applyFont="1" applyAlignment="1">
      <alignment horizontal="center"/>
    </xf>
    <xf numFmtId="170" fontId="9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8" fillId="2" borderId="1" xfId="3" applyFont="1" applyAlignment="1">
      <alignment horizontal="center"/>
    </xf>
    <xf numFmtId="0" fontId="9" fillId="3" borderId="2" xfId="4" applyFont="1" applyBorder="1" applyAlignment="1">
      <alignment horizontal="center"/>
    </xf>
    <xf numFmtId="165" fontId="5" fillId="0" borderId="0" xfId="1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65" fontId="9" fillId="9" borderId="0" xfId="0" applyNumberFormat="1" applyFont="1" applyFill="1" applyAlignment="1">
      <alignment horizontal="center" wrapText="1"/>
    </xf>
    <xf numFmtId="182" fontId="5" fillId="0" borderId="0" xfId="0" applyNumberFormat="1" applyFont="1" applyAlignment="1">
      <alignment horizontal="center"/>
    </xf>
    <xf numFmtId="4" fontId="13" fillId="0" borderId="0" xfId="1" applyNumberFormat="1" applyFont="1" applyBorder="1" applyAlignment="1">
      <alignment horizontal="center"/>
    </xf>
    <xf numFmtId="4" fontId="13" fillId="0" borderId="0" xfId="0" applyNumberFormat="1" applyFont="1" applyAlignment="1">
      <alignment horizontal="center"/>
    </xf>
    <xf numFmtId="4" fontId="5" fillId="0" borderId="0" xfId="1" applyNumberFormat="1" applyFont="1" applyBorder="1" applyAlignment="1">
      <alignment horizontal="center"/>
    </xf>
    <xf numFmtId="180" fontId="5" fillId="0" borderId="0" xfId="1" applyNumberFormat="1" applyFont="1" applyBorder="1" applyAlignment="1">
      <alignment horizontal="center"/>
    </xf>
    <xf numFmtId="169" fontId="5" fillId="0" borderId="0" xfId="0" applyNumberFormat="1" applyFont="1" applyAlignment="1">
      <alignment horizontal="right"/>
    </xf>
    <xf numFmtId="169" fontId="5" fillId="0" borderId="0" xfId="1" applyNumberFormat="1" applyFont="1" applyBorder="1" applyAlignment="1">
      <alignment horizontal="center"/>
    </xf>
    <xf numFmtId="169" fontId="5" fillId="0" borderId="0" xfId="0" applyNumberFormat="1" applyFont="1" applyAlignment="1">
      <alignment horizontal="right" indent="2"/>
    </xf>
    <xf numFmtId="180" fontId="5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4" borderId="2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165" fontId="9" fillId="0" borderId="0" xfId="1" applyNumberFormat="1" applyFont="1" applyBorder="1" applyAlignment="1">
      <alignment horizontal="center" wrapText="1"/>
    </xf>
    <xf numFmtId="165" fontId="28" fillId="9" borderId="0" xfId="0" applyNumberFormat="1" applyFont="1" applyFill="1" applyAlignment="1">
      <alignment horizontal="center" wrapText="1"/>
    </xf>
    <xf numFmtId="165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169" fontId="5" fillId="0" borderId="0" xfId="0" applyNumberFormat="1" applyFont="1" applyAlignment="1">
      <alignment horizontal="center" wrapText="1"/>
    </xf>
    <xf numFmtId="165" fontId="13" fillId="0" borderId="0" xfId="0" applyNumberFormat="1" applyFont="1" applyAlignment="1">
      <alignment horizontal="center" wrapText="1"/>
    </xf>
    <xf numFmtId="165" fontId="27" fillId="0" borderId="0" xfId="0" applyNumberFormat="1" applyFont="1" applyAlignment="1">
      <alignment horizontal="center" wrapText="1"/>
    </xf>
    <xf numFmtId="165" fontId="5" fillId="0" borderId="0" xfId="1" applyNumberFormat="1" applyFont="1" applyBorder="1" applyAlignment="1">
      <alignment horizontal="center" wrapText="1"/>
    </xf>
    <xf numFmtId="165" fontId="5" fillId="0" borderId="0" xfId="0" applyNumberFormat="1" applyFont="1" applyAlignment="1">
      <alignment horizontal="center" vertical="top" wrapText="1"/>
    </xf>
    <xf numFmtId="193" fontId="22" fillId="0" borderId="0" xfId="0" applyNumberFormat="1" applyFont="1" applyAlignment="1">
      <alignment horizontal="center" wrapText="1"/>
    </xf>
    <xf numFmtId="180" fontId="5" fillId="0" borderId="0" xfId="1" applyNumberFormat="1" applyFont="1" applyBorder="1" applyAlignment="1">
      <alignment horizontal="center" wrapText="1"/>
    </xf>
    <xf numFmtId="170" fontId="5" fillId="0" borderId="0" xfId="0" applyNumberFormat="1" applyFont="1" applyAlignment="1">
      <alignment horizontal="center" vertical="center" wrapText="1"/>
    </xf>
    <xf numFmtId="193" fontId="5" fillId="0" borderId="0" xfId="0" applyNumberFormat="1" applyFont="1" applyAlignment="1">
      <alignment horizontal="center" wrapText="1"/>
    </xf>
    <xf numFmtId="192" fontId="5" fillId="0" borderId="0" xfId="1" applyNumberFormat="1" applyFont="1" applyBorder="1" applyAlignment="1">
      <alignment horizontal="center" vertical="center" wrapText="1"/>
    </xf>
    <xf numFmtId="180" fontId="5" fillId="0" borderId="0" xfId="0" applyNumberFormat="1" applyFont="1" applyAlignment="1">
      <alignment horizontal="center" wrapText="1"/>
    </xf>
    <xf numFmtId="193" fontId="5" fillId="0" borderId="0" xfId="1" applyNumberFormat="1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6" fillId="10" borderId="2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/>
    </xf>
    <xf numFmtId="0" fontId="16" fillId="0" borderId="0" xfId="0" applyFont="1" applyAlignment="1">
      <alignment horizontal="center" wrapText="1"/>
    </xf>
  </cellXfs>
  <cellStyles count="10">
    <cellStyle name="20% - Énfasis4" xfId="4" builtinId="42"/>
    <cellStyle name="Millares" xfId="1" builtinId="3"/>
    <cellStyle name="Millares 10" xfId="9" xr:uid="{F7481D3F-57B9-4D6D-B4B9-2BB9740A7D37}"/>
    <cellStyle name="Millares_PROYECTO PADRE GRANERO AGUAS NEGRAS" xfId="7" xr:uid="{6C338A98-A005-4F22-91B3-3EF79C16B128}"/>
    <cellStyle name="Normal" xfId="0" builtinId="0"/>
    <cellStyle name="Normal 2 3 2 2" xfId="6" xr:uid="{8B5DFFA6-7403-475F-A3B8-BA54323732A5}"/>
    <cellStyle name="Normal 3 4" xfId="5" xr:uid="{9A0DBBAA-9192-4CBB-BA33-0BFD60165E5F}"/>
    <cellStyle name="Normal 6" xfId="8" xr:uid="{89D30FCB-3FF9-4B18-AF15-302503A1526F}"/>
    <cellStyle name="Porcentaje" xfId="2" builtinId="5"/>
    <cellStyle name="Sali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17619</xdr:colOff>
      <xdr:row>45</xdr:row>
      <xdr:rowOff>17976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BCAAF1-A95B-EEE1-757B-D729A86F7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47619" cy="85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371476</xdr:colOff>
      <xdr:row>1</xdr:row>
      <xdr:rowOff>85726</xdr:rowOff>
    </xdr:from>
    <xdr:to>
      <xdr:col>1</xdr:col>
      <xdr:colOff>903274</xdr:colOff>
      <xdr:row>6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3141646-CD2F-4A9F-80CA-28B4FF3D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6" y="269876"/>
          <a:ext cx="1147748" cy="1063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307975</xdr:colOff>
      <xdr:row>207</xdr:row>
      <xdr:rowOff>117474</xdr:rowOff>
    </xdr:from>
    <xdr:to>
      <xdr:col>1</xdr:col>
      <xdr:colOff>1133475</xdr:colOff>
      <xdr:row>212</xdr:row>
      <xdr:rowOff>190499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8AEF30-FE1B-408F-9EA9-8158FCB64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975" y="42992674"/>
          <a:ext cx="1441450" cy="129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85726</xdr:rowOff>
    </xdr:from>
    <xdr:to>
      <xdr:col>1</xdr:col>
      <xdr:colOff>559443</xdr:colOff>
      <xdr:row>7</xdr:row>
      <xdr:rowOff>66676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F9B7E1B-73E8-41F2-A900-A93B65F0E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54026"/>
          <a:ext cx="1254768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152401</xdr:colOff>
      <xdr:row>79</xdr:row>
      <xdr:rowOff>142875</xdr:rowOff>
    </xdr:from>
    <xdr:to>
      <xdr:col>1</xdr:col>
      <xdr:colOff>764858</xdr:colOff>
      <xdr:row>87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31D371-5C41-4822-AE41-0F8A8CEAD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20266025"/>
          <a:ext cx="1374457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2</xdr:row>
      <xdr:rowOff>12700</xdr:rowOff>
    </xdr:from>
    <xdr:to>
      <xdr:col>1</xdr:col>
      <xdr:colOff>676274</xdr:colOff>
      <xdr:row>6</xdr:row>
      <xdr:rowOff>168275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B317D13-7CD6-47F6-81A5-3EF4CCBB7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381000"/>
          <a:ext cx="1171575" cy="89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232</xdr:row>
      <xdr:rowOff>47625</xdr:rowOff>
    </xdr:from>
    <xdr:to>
      <xdr:col>1</xdr:col>
      <xdr:colOff>1120675</xdr:colOff>
      <xdr:row>236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D215AF-E6E5-4F51-BCD4-2DF06A6E1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1" y="67154425"/>
          <a:ext cx="1120674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73A09-AE30-497B-80E4-BB5742574200}">
  <dimension ref="A1"/>
  <sheetViews>
    <sheetView tabSelected="1" workbookViewId="0">
      <selection activeCell="V12" sqref="V1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84607-141B-45FC-8E91-7C6280AFD533}">
  <dimension ref="A1"/>
  <sheetViews>
    <sheetView workbookViewId="0">
      <selection activeCell="G15" sqref="G15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0D3E5-E233-47BD-BB85-7097FAD87D50}">
  <dimension ref="A1:Q270"/>
  <sheetViews>
    <sheetView workbookViewId="0">
      <selection sqref="A1:XFD1048576"/>
    </sheetView>
  </sheetViews>
  <sheetFormatPr baseColWidth="10" defaultColWidth="70.5703125" defaultRowHeight="15" x14ac:dyDescent="0.25"/>
  <cols>
    <col min="1" max="1" width="8.85546875" customWidth="1"/>
    <col min="2" max="2" width="46.140625" customWidth="1"/>
    <col min="3" max="3" width="11.140625" style="112" customWidth="1"/>
    <col min="4" max="4" width="15.7109375" style="113" customWidth="1"/>
    <col min="5" max="5" width="12" customWidth="1"/>
    <col min="6" max="6" width="14.85546875" bestFit="1" customWidth="1"/>
    <col min="7" max="7" width="10.140625" customWidth="1"/>
    <col min="8" max="8" width="13.85546875" bestFit="1" customWidth="1"/>
    <col min="9" max="9" width="14.5703125" customWidth="1"/>
    <col min="10" max="10" width="8.85546875" customWidth="1"/>
    <col min="11" max="11" width="13.7109375" bestFit="1" customWidth="1"/>
    <col min="12" max="12" width="14.140625" customWidth="1"/>
    <col min="13" max="13" width="14.5703125" customWidth="1"/>
    <col min="14" max="14" width="18.7109375" customWidth="1"/>
    <col min="15" max="15" width="11.85546875" bestFit="1" customWidth="1"/>
  </cols>
  <sheetData>
    <row r="1" spans="1:13" x14ac:dyDescent="0.25">
      <c r="A1" s="421" t="s">
        <v>0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</row>
    <row r="2" spans="1:13" x14ac:dyDescent="0.25">
      <c r="A2" s="434" t="s">
        <v>1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</row>
    <row r="3" spans="1:13" ht="9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"/>
    </row>
    <row r="4" spans="1:13" ht="35.25" customHeight="1" x14ac:dyDescent="0.25">
      <c r="A4" s="3"/>
      <c r="B4" s="4" t="s">
        <v>2</v>
      </c>
      <c r="C4" s="435" t="s">
        <v>3</v>
      </c>
      <c r="D4" s="435"/>
      <c r="E4" s="435"/>
      <c r="F4" s="435"/>
      <c r="G4" s="6"/>
      <c r="H4" s="3"/>
      <c r="I4" s="3"/>
      <c r="J4" s="3"/>
      <c r="K4" s="3"/>
      <c r="L4" s="4" t="s">
        <v>4</v>
      </c>
      <c r="M4" s="7">
        <v>12047195.689999999</v>
      </c>
    </row>
    <row r="5" spans="1:13" x14ac:dyDescent="0.25">
      <c r="A5" s="3"/>
      <c r="B5" s="4" t="s">
        <v>5</v>
      </c>
      <c r="C5" s="8">
        <v>2</v>
      </c>
      <c r="D5" s="9"/>
      <c r="E5" s="10"/>
      <c r="F5" s="10"/>
      <c r="G5" s="10"/>
      <c r="H5" s="3"/>
      <c r="I5" s="3"/>
      <c r="J5" s="3"/>
      <c r="K5" s="3"/>
      <c r="L5" s="4" t="s">
        <v>6</v>
      </c>
      <c r="M5" s="7">
        <f>M4*0.2</f>
        <v>2409439.1379999998</v>
      </c>
    </row>
    <row r="6" spans="1:13" x14ac:dyDescent="0.25">
      <c r="A6" s="3"/>
      <c r="B6" s="4" t="s">
        <v>7</v>
      </c>
      <c r="C6" s="10" t="s">
        <v>8</v>
      </c>
      <c r="D6" s="1"/>
      <c r="E6" s="10"/>
      <c r="F6" s="10"/>
      <c r="G6" s="11"/>
      <c r="H6" s="3"/>
      <c r="I6" s="3"/>
      <c r="J6" s="3"/>
      <c r="K6" s="3"/>
      <c r="L6" s="4" t="s">
        <v>9</v>
      </c>
      <c r="M6" s="12" t="s">
        <v>10</v>
      </c>
    </row>
    <row r="7" spans="1:13" x14ac:dyDescent="0.25">
      <c r="A7" s="3"/>
      <c r="B7" s="4" t="s">
        <v>11</v>
      </c>
      <c r="C7" s="10" t="s">
        <v>12</v>
      </c>
      <c r="D7" s="1"/>
      <c r="E7" s="10"/>
      <c r="F7" s="10"/>
      <c r="G7" s="10"/>
      <c r="H7" s="3"/>
      <c r="I7" s="3"/>
      <c r="J7" s="3"/>
      <c r="K7" s="3"/>
      <c r="L7" s="3"/>
      <c r="M7" s="3"/>
    </row>
    <row r="8" spans="1:13" x14ac:dyDescent="0.25">
      <c r="A8" s="437" t="s">
        <v>13</v>
      </c>
      <c r="B8" s="437"/>
      <c r="C8" s="437"/>
      <c r="D8" s="437"/>
      <c r="E8" s="437"/>
      <c r="F8" s="437"/>
      <c r="G8" s="438" t="s">
        <v>14</v>
      </c>
      <c r="H8" s="438"/>
      <c r="I8" s="438"/>
      <c r="J8" s="438"/>
      <c r="K8" s="439" t="s">
        <v>15</v>
      </c>
      <c r="L8" s="439"/>
      <c r="M8" s="439"/>
    </row>
    <row r="9" spans="1:13" ht="15.75" thickBot="1" x14ac:dyDescent="0.3">
      <c r="A9" s="14" t="s">
        <v>16</v>
      </c>
      <c r="B9" s="15" t="s">
        <v>17</v>
      </c>
      <c r="C9" s="15" t="s">
        <v>18</v>
      </c>
      <c r="D9" s="15" t="s">
        <v>19</v>
      </c>
      <c r="E9" s="16" t="s">
        <v>20</v>
      </c>
      <c r="F9" s="17" t="s">
        <v>21</v>
      </c>
      <c r="G9" s="18" t="s">
        <v>22</v>
      </c>
      <c r="H9" s="18" t="s">
        <v>23</v>
      </c>
      <c r="I9" s="19" t="s">
        <v>24</v>
      </c>
      <c r="J9" s="13" t="s">
        <v>25</v>
      </c>
      <c r="K9" s="20" t="s">
        <v>22</v>
      </c>
      <c r="L9" s="21" t="s">
        <v>23</v>
      </c>
      <c r="M9" s="22" t="s">
        <v>24</v>
      </c>
    </row>
    <row r="10" spans="1:13" x14ac:dyDescent="0.25">
      <c r="A10" s="23">
        <v>1</v>
      </c>
      <c r="B10" s="24" t="s">
        <v>26</v>
      </c>
      <c r="C10" s="25"/>
      <c r="D10" s="26"/>
      <c r="E10" s="27"/>
      <c r="F10" s="27"/>
      <c r="G10" s="28"/>
      <c r="H10" s="28"/>
      <c r="I10" s="29"/>
      <c r="J10" s="30"/>
      <c r="K10" s="31"/>
      <c r="L10" s="32"/>
      <c r="M10" s="33"/>
    </row>
    <row r="11" spans="1:13" x14ac:dyDescent="0.25">
      <c r="A11" s="34">
        <v>1.01</v>
      </c>
      <c r="B11" s="25" t="s">
        <v>27</v>
      </c>
      <c r="C11" s="26" t="s">
        <v>28</v>
      </c>
      <c r="D11" s="35">
        <v>1</v>
      </c>
      <c r="E11" s="27">
        <v>57031.82</v>
      </c>
      <c r="F11" s="36">
        <f>D11*E11</f>
        <v>57031.82</v>
      </c>
      <c r="G11" s="37"/>
      <c r="H11" s="28"/>
      <c r="I11" s="38"/>
      <c r="J11" s="39"/>
      <c r="K11" s="40"/>
      <c r="L11" s="41"/>
      <c r="M11" s="42"/>
    </row>
    <row r="12" spans="1:13" x14ac:dyDescent="0.25">
      <c r="A12" s="34"/>
      <c r="B12" s="24" t="s">
        <v>29</v>
      </c>
      <c r="C12" s="26"/>
      <c r="D12" s="35"/>
      <c r="E12" s="27"/>
      <c r="F12" s="43">
        <f>F11</f>
        <v>57031.82</v>
      </c>
      <c r="G12" s="28"/>
      <c r="H12" s="28"/>
      <c r="I12" s="44"/>
      <c r="J12" s="45"/>
      <c r="K12" s="40"/>
      <c r="L12" s="46"/>
      <c r="M12" s="47"/>
    </row>
    <row r="13" spans="1:13" x14ac:dyDescent="0.25">
      <c r="A13" s="48" t="s">
        <v>30</v>
      </c>
      <c r="B13" s="49" t="s">
        <v>31</v>
      </c>
      <c r="C13" s="50"/>
      <c r="D13" s="51"/>
      <c r="E13" s="52"/>
      <c r="F13" s="43"/>
      <c r="G13" s="28"/>
      <c r="H13" s="28"/>
      <c r="I13" s="44"/>
      <c r="J13" s="45"/>
      <c r="K13" s="40"/>
      <c r="L13" s="46"/>
      <c r="M13" s="47"/>
    </row>
    <row r="14" spans="1:13" x14ac:dyDescent="0.25">
      <c r="A14" s="53">
        <v>1.01</v>
      </c>
      <c r="B14" s="54" t="s">
        <v>32</v>
      </c>
      <c r="C14" s="55" t="s">
        <v>33</v>
      </c>
      <c r="D14" s="56">
        <v>6</v>
      </c>
      <c r="E14" s="57">
        <v>1688.17</v>
      </c>
      <c r="F14" s="36">
        <f>D14*E14</f>
        <v>10129.02</v>
      </c>
      <c r="G14" s="28"/>
      <c r="H14" s="58">
        <f>D14</f>
        <v>6</v>
      </c>
      <c r="I14" s="59">
        <f>G14+H14</f>
        <v>6</v>
      </c>
      <c r="J14" s="60">
        <f>H14/I14</f>
        <v>1</v>
      </c>
      <c r="K14" s="40"/>
      <c r="L14" s="61">
        <f>H14*E14</f>
        <v>10129.02</v>
      </c>
      <c r="M14" s="42">
        <f>K14+L14</f>
        <v>10129.02</v>
      </c>
    </row>
    <row r="15" spans="1:13" x14ac:dyDescent="0.25">
      <c r="A15" s="62">
        <f>A14+0.01</f>
        <v>1.02</v>
      </c>
      <c r="B15" s="54" t="s">
        <v>34</v>
      </c>
      <c r="C15" s="55" t="s">
        <v>35</v>
      </c>
      <c r="D15" s="56">
        <v>18.05</v>
      </c>
      <c r="E15" s="63">
        <v>335.9</v>
      </c>
      <c r="F15" s="36">
        <f t="shared" ref="F15:F20" si="0">D15*E15</f>
        <v>6062.9949999999999</v>
      </c>
      <c r="G15" s="64"/>
      <c r="H15" s="58">
        <f t="shared" ref="H15:H20" si="1">D15</f>
        <v>18.05</v>
      </c>
      <c r="I15" s="59">
        <f t="shared" ref="I15:I20" si="2">G15+H15</f>
        <v>18.05</v>
      </c>
      <c r="J15" s="60">
        <f t="shared" ref="J15:J20" si="3">H15/I15</f>
        <v>1</v>
      </c>
      <c r="K15" s="40"/>
      <c r="L15" s="61">
        <f t="shared" ref="L15:L20" si="4">H15*E15</f>
        <v>6062.9949999999999</v>
      </c>
      <c r="M15" s="42">
        <f t="shared" ref="M15:M21" si="5">K15+L15</f>
        <v>6062.9949999999999</v>
      </c>
    </row>
    <row r="16" spans="1:13" x14ac:dyDescent="0.25">
      <c r="A16" s="62">
        <f t="shared" ref="A16:A20" si="6">A15+0.01</f>
        <v>1.03</v>
      </c>
      <c r="B16" s="25" t="s">
        <v>36</v>
      </c>
      <c r="C16" s="26" t="s">
        <v>35</v>
      </c>
      <c r="D16" s="56">
        <v>15.5</v>
      </c>
      <c r="E16" s="63">
        <v>335.9</v>
      </c>
      <c r="F16" s="36">
        <f t="shared" si="0"/>
        <v>5206.45</v>
      </c>
      <c r="G16" s="64"/>
      <c r="H16" s="58">
        <f t="shared" si="1"/>
        <v>15.5</v>
      </c>
      <c r="I16" s="59">
        <f t="shared" si="2"/>
        <v>15.5</v>
      </c>
      <c r="J16" s="60">
        <f t="shared" si="3"/>
        <v>1</v>
      </c>
      <c r="K16" s="40"/>
      <c r="L16" s="61">
        <f t="shared" si="4"/>
        <v>5206.45</v>
      </c>
      <c r="M16" s="42">
        <f t="shared" si="5"/>
        <v>5206.45</v>
      </c>
    </row>
    <row r="17" spans="1:13" x14ac:dyDescent="0.25">
      <c r="A17" s="62">
        <f t="shared" si="6"/>
        <v>1.04</v>
      </c>
      <c r="B17" s="25" t="s">
        <v>37</v>
      </c>
      <c r="C17" s="26" t="s">
        <v>38</v>
      </c>
      <c r="D17" s="56">
        <v>18.2</v>
      </c>
      <c r="E17" s="57">
        <v>9775</v>
      </c>
      <c r="F17" s="36">
        <f t="shared" si="0"/>
        <v>177905</v>
      </c>
      <c r="G17" s="28"/>
      <c r="H17" s="58">
        <f t="shared" si="1"/>
        <v>18.2</v>
      </c>
      <c r="I17" s="59">
        <f t="shared" si="2"/>
        <v>18.2</v>
      </c>
      <c r="J17" s="60">
        <f t="shared" si="3"/>
        <v>1</v>
      </c>
      <c r="K17" s="40"/>
      <c r="L17" s="61">
        <f t="shared" si="4"/>
        <v>177905</v>
      </c>
      <c r="M17" s="42">
        <f t="shared" si="5"/>
        <v>177905</v>
      </c>
    </row>
    <row r="18" spans="1:13" x14ac:dyDescent="0.25">
      <c r="A18" s="62">
        <f t="shared" si="6"/>
        <v>1.05</v>
      </c>
      <c r="B18" s="65" t="s">
        <v>39</v>
      </c>
      <c r="C18" s="66" t="s">
        <v>38</v>
      </c>
      <c r="D18" s="56">
        <v>18.2</v>
      </c>
      <c r="E18" s="57">
        <v>9775</v>
      </c>
      <c r="F18" s="36">
        <f t="shared" si="0"/>
        <v>177905</v>
      </c>
      <c r="G18" s="28"/>
      <c r="H18" s="58">
        <f t="shared" si="1"/>
        <v>18.2</v>
      </c>
      <c r="I18" s="59">
        <f t="shared" si="2"/>
        <v>18.2</v>
      </c>
      <c r="J18" s="60">
        <f t="shared" si="3"/>
        <v>1</v>
      </c>
      <c r="K18" s="40"/>
      <c r="L18" s="61">
        <f t="shared" si="4"/>
        <v>177905</v>
      </c>
      <c r="M18" s="42">
        <f t="shared" si="5"/>
        <v>177905</v>
      </c>
    </row>
    <row r="19" spans="1:13" x14ac:dyDescent="0.25">
      <c r="A19" s="62">
        <f t="shared" si="6"/>
        <v>1.06</v>
      </c>
      <c r="B19" s="67" t="s">
        <v>40</v>
      </c>
      <c r="C19" s="26" t="s">
        <v>38</v>
      </c>
      <c r="D19" s="56">
        <v>18.2</v>
      </c>
      <c r="E19" s="57">
        <v>1350</v>
      </c>
      <c r="F19" s="36">
        <f t="shared" si="0"/>
        <v>24570</v>
      </c>
      <c r="G19" s="28"/>
      <c r="H19" s="58">
        <f t="shared" si="1"/>
        <v>18.2</v>
      </c>
      <c r="I19" s="59">
        <f t="shared" si="2"/>
        <v>18.2</v>
      </c>
      <c r="J19" s="60">
        <f t="shared" si="3"/>
        <v>1</v>
      </c>
      <c r="K19" s="40"/>
      <c r="L19" s="61">
        <f t="shared" si="4"/>
        <v>24570</v>
      </c>
      <c r="M19" s="42">
        <f t="shared" si="5"/>
        <v>24570</v>
      </c>
    </row>
    <row r="20" spans="1:13" x14ac:dyDescent="0.25">
      <c r="A20" s="62">
        <f t="shared" si="6"/>
        <v>1.07</v>
      </c>
      <c r="B20" s="68" t="s">
        <v>41</v>
      </c>
      <c r="C20" s="26" t="s">
        <v>38</v>
      </c>
      <c r="D20" s="56">
        <v>18.2</v>
      </c>
      <c r="E20" s="57">
        <v>2400</v>
      </c>
      <c r="F20" s="36">
        <f t="shared" si="0"/>
        <v>43680</v>
      </c>
      <c r="G20" s="28"/>
      <c r="H20" s="58">
        <f t="shared" si="1"/>
        <v>18.2</v>
      </c>
      <c r="I20" s="59">
        <f t="shared" si="2"/>
        <v>18.2</v>
      </c>
      <c r="J20" s="60">
        <f t="shared" si="3"/>
        <v>1</v>
      </c>
      <c r="K20" s="40"/>
      <c r="L20" s="61">
        <f t="shared" si="4"/>
        <v>43680</v>
      </c>
      <c r="M20" s="42">
        <f t="shared" si="5"/>
        <v>43680</v>
      </c>
    </row>
    <row r="21" spans="1:13" x14ac:dyDescent="0.25">
      <c r="A21" s="62"/>
      <c r="B21" s="24" t="s">
        <v>29</v>
      </c>
      <c r="C21" s="26"/>
      <c r="D21" s="35"/>
      <c r="E21" s="27"/>
      <c r="F21" s="43">
        <f>SUM(F14:F20)</f>
        <v>445458.46499999997</v>
      </c>
      <c r="G21" s="28"/>
      <c r="H21" s="28"/>
      <c r="I21" s="38"/>
      <c r="J21" s="39"/>
      <c r="K21" s="40"/>
      <c r="L21" s="69">
        <f>SUM(L14:L20)</f>
        <v>445458.46499999997</v>
      </c>
      <c r="M21" s="47">
        <f t="shared" si="5"/>
        <v>445458.46499999997</v>
      </c>
    </row>
    <row r="22" spans="1:13" x14ac:dyDescent="0.25">
      <c r="A22" s="70" t="s">
        <v>42</v>
      </c>
      <c r="B22" s="71" t="s">
        <v>43</v>
      </c>
      <c r="C22" s="50"/>
      <c r="D22" s="51"/>
      <c r="E22" s="27"/>
      <c r="F22" s="36"/>
      <c r="G22" s="28"/>
      <c r="H22" s="28"/>
      <c r="I22" s="38"/>
      <c r="J22" s="39"/>
      <c r="K22" s="40"/>
      <c r="L22" s="72"/>
      <c r="M22" s="42"/>
    </row>
    <row r="23" spans="1:13" x14ac:dyDescent="0.25">
      <c r="A23" s="53">
        <v>1.01</v>
      </c>
      <c r="B23" s="67" t="s">
        <v>44</v>
      </c>
      <c r="C23" s="26" t="s">
        <v>45</v>
      </c>
      <c r="D23" s="56">
        <v>2</v>
      </c>
      <c r="E23" s="57">
        <v>9000</v>
      </c>
      <c r="F23" s="36">
        <f t="shared" ref="F23:F26" si="7">D23*E23</f>
        <v>18000</v>
      </c>
      <c r="G23" s="28"/>
      <c r="H23" s="28"/>
      <c r="I23" s="44"/>
      <c r="J23" s="73"/>
      <c r="K23" s="40"/>
      <c r="L23" s="46"/>
      <c r="M23" s="47"/>
    </row>
    <row r="24" spans="1:13" x14ac:dyDescent="0.25">
      <c r="A24" s="62">
        <f>A23+0.01</f>
        <v>1.02</v>
      </c>
      <c r="B24" s="67" t="s">
        <v>46</v>
      </c>
      <c r="C24" s="26" t="s">
        <v>45</v>
      </c>
      <c r="D24" s="56">
        <v>2</v>
      </c>
      <c r="E24" s="57">
        <v>45900</v>
      </c>
      <c r="F24" s="36">
        <f t="shared" si="7"/>
        <v>91800</v>
      </c>
      <c r="G24" s="28"/>
      <c r="H24" s="28"/>
      <c r="I24" s="44"/>
      <c r="J24" s="73"/>
      <c r="K24" s="31"/>
      <c r="L24" s="41"/>
      <c r="M24" s="33"/>
    </row>
    <row r="25" spans="1:13" ht="24" x14ac:dyDescent="0.25">
      <c r="A25" s="62">
        <f t="shared" ref="A25:A28" si="8">A24+0.01</f>
        <v>1.03</v>
      </c>
      <c r="B25" s="74" t="s">
        <v>47</v>
      </c>
      <c r="C25" s="26" t="s">
        <v>45</v>
      </c>
      <c r="D25" s="56">
        <v>1</v>
      </c>
      <c r="E25" s="57">
        <v>10000</v>
      </c>
      <c r="F25" s="36">
        <f t="shared" si="7"/>
        <v>10000</v>
      </c>
      <c r="G25" s="28"/>
      <c r="H25" s="28"/>
      <c r="I25" s="44"/>
      <c r="J25" s="45"/>
      <c r="K25" s="40"/>
      <c r="L25" s="41"/>
      <c r="M25" s="33"/>
    </row>
    <row r="26" spans="1:13" x14ac:dyDescent="0.25">
      <c r="A26" s="62">
        <f t="shared" si="8"/>
        <v>1.04</v>
      </c>
      <c r="B26" s="75" t="s">
        <v>48</v>
      </c>
      <c r="C26" s="26" t="s">
        <v>33</v>
      </c>
      <c r="D26" s="56">
        <v>3.5</v>
      </c>
      <c r="E26" s="57">
        <v>3549.74</v>
      </c>
      <c r="F26" s="36">
        <f t="shared" si="7"/>
        <v>12424.09</v>
      </c>
      <c r="G26" s="28"/>
      <c r="H26" s="28"/>
      <c r="I26" s="44"/>
      <c r="J26" s="73"/>
      <c r="K26" s="40"/>
      <c r="L26" s="41"/>
      <c r="M26" s="33"/>
    </row>
    <row r="27" spans="1:13" x14ac:dyDescent="0.25">
      <c r="A27" s="62">
        <f t="shared" si="8"/>
        <v>1.05</v>
      </c>
      <c r="B27" s="75" t="s">
        <v>49</v>
      </c>
      <c r="C27" s="26" t="s">
        <v>45</v>
      </c>
      <c r="D27" s="56">
        <v>1</v>
      </c>
      <c r="E27" s="57">
        <v>31125</v>
      </c>
      <c r="F27" s="36">
        <f>D27*E27</f>
        <v>31125</v>
      </c>
      <c r="G27" s="28"/>
      <c r="H27" s="28"/>
      <c r="I27" s="44"/>
      <c r="J27" s="73"/>
      <c r="K27" s="31"/>
      <c r="L27" s="41"/>
      <c r="M27" s="33"/>
    </row>
    <row r="28" spans="1:13" x14ac:dyDescent="0.25">
      <c r="A28" s="62">
        <f t="shared" si="8"/>
        <v>1.06</v>
      </c>
      <c r="B28" s="67" t="s">
        <v>50</v>
      </c>
      <c r="C28" s="26" t="s">
        <v>45</v>
      </c>
      <c r="D28" s="56">
        <v>1</v>
      </c>
      <c r="E28" s="57">
        <v>12500</v>
      </c>
      <c r="F28" s="36">
        <f>D28*E28</f>
        <v>12500</v>
      </c>
      <c r="G28" s="28"/>
      <c r="H28" s="28"/>
      <c r="I28" s="44"/>
      <c r="J28" s="45"/>
      <c r="K28" s="40"/>
      <c r="L28" s="41"/>
      <c r="M28" s="33"/>
    </row>
    <row r="29" spans="1:13" x14ac:dyDescent="0.25">
      <c r="A29" s="48"/>
      <c r="B29" s="24" t="s">
        <v>29</v>
      </c>
      <c r="C29" s="26"/>
      <c r="D29" s="35"/>
      <c r="E29" s="27"/>
      <c r="F29" s="43">
        <f>SUM(F23:F28)</f>
        <v>175849.09</v>
      </c>
      <c r="G29" s="28"/>
      <c r="H29" s="28"/>
      <c r="I29" s="44"/>
      <c r="J29" s="45"/>
      <c r="K29" s="40"/>
      <c r="L29" s="41"/>
      <c r="M29" s="33"/>
    </row>
    <row r="30" spans="1:13" ht="24" x14ac:dyDescent="0.25">
      <c r="A30" s="48" t="s">
        <v>51</v>
      </c>
      <c r="B30" s="76" t="s">
        <v>52</v>
      </c>
      <c r="C30" s="50"/>
      <c r="D30" s="51"/>
      <c r="E30" s="52"/>
      <c r="F30" s="36"/>
      <c r="G30" s="28"/>
      <c r="H30" s="58"/>
      <c r="I30" s="38"/>
      <c r="J30" s="39"/>
      <c r="K30" s="40"/>
      <c r="L30" s="72"/>
      <c r="M30" s="42"/>
    </row>
    <row r="31" spans="1:13" x14ac:dyDescent="0.25">
      <c r="A31" s="70">
        <v>1</v>
      </c>
      <c r="B31" s="49" t="s">
        <v>53</v>
      </c>
      <c r="C31" s="26"/>
      <c r="D31" s="35"/>
      <c r="E31" s="57"/>
      <c r="F31" s="36"/>
      <c r="G31" s="28"/>
      <c r="H31" s="28"/>
      <c r="I31" s="38"/>
      <c r="J31" s="39"/>
      <c r="K31" s="40"/>
      <c r="L31" s="41"/>
      <c r="M31" s="33"/>
    </row>
    <row r="32" spans="1:13" x14ac:dyDescent="0.25">
      <c r="A32" s="62">
        <f>A31+0.01</f>
        <v>1.01</v>
      </c>
      <c r="B32" s="75" t="s">
        <v>54</v>
      </c>
      <c r="C32" s="26" t="s">
        <v>45</v>
      </c>
      <c r="D32" s="35">
        <v>2</v>
      </c>
      <c r="E32" s="57">
        <v>38500</v>
      </c>
      <c r="F32" s="27">
        <f t="shared" ref="F32:F38" si="9">E32*D32</f>
        <v>77000</v>
      </c>
      <c r="G32" s="28"/>
      <c r="H32" s="58"/>
      <c r="I32" s="38"/>
      <c r="J32" s="39"/>
      <c r="K32" s="40"/>
      <c r="L32" s="72"/>
      <c r="M32" s="42"/>
    </row>
    <row r="33" spans="1:13" x14ac:dyDescent="0.25">
      <c r="A33" s="62">
        <f t="shared" ref="A33:A35" si="10">A32+0.01</f>
        <v>1.02</v>
      </c>
      <c r="B33" s="75" t="s">
        <v>55</v>
      </c>
      <c r="C33" s="26" t="s">
        <v>45</v>
      </c>
      <c r="D33" s="35">
        <v>2</v>
      </c>
      <c r="E33" s="57">
        <v>2000</v>
      </c>
      <c r="F33" s="27">
        <f t="shared" si="9"/>
        <v>4000</v>
      </c>
      <c r="G33" s="28"/>
      <c r="H33" s="58"/>
      <c r="I33" s="38"/>
      <c r="J33" s="39"/>
      <c r="K33" s="40"/>
      <c r="L33" s="72"/>
      <c r="M33" s="42"/>
    </row>
    <row r="34" spans="1:13" x14ac:dyDescent="0.25">
      <c r="A34" s="62">
        <f t="shared" si="10"/>
        <v>1.03</v>
      </c>
      <c r="B34" s="67" t="s">
        <v>56</v>
      </c>
      <c r="C34" s="26" t="s">
        <v>45</v>
      </c>
      <c r="D34" s="35">
        <v>2</v>
      </c>
      <c r="E34" s="57">
        <v>2800</v>
      </c>
      <c r="F34" s="27">
        <f t="shared" si="9"/>
        <v>5600</v>
      </c>
      <c r="G34" s="28"/>
      <c r="H34" s="28"/>
      <c r="I34" s="44"/>
      <c r="J34" s="45"/>
      <c r="K34" s="40"/>
      <c r="L34" s="46"/>
      <c r="M34" s="47"/>
    </row>
    <row r="35" spans="1:13" x14ac:dyDescent="0.25">
      <c r="A35" s="62">
        <f t="shared" si="10"/>
        <v>1.04</v>
      </c>
      <c r="B35" s="67" t="s">
        <v>57</v>
      </c>
      <c r="C35" s="26"/>
      <c r="D35" s="35">
        <v>2</v>
      </c>
      <c r="E35" s="27">
        <v>3200</v>
      </c>
      <c r="F35" s="27">
        <f t="shared" si="9"/>
        <v>6400</v>
      </c>
      <c r="G35" s="77"/>
      <c r="H35" s="77"/>
      <c r="I35" s="78"/>
      <c r="J35" s="79"/>
      <c r="K35" s="31"/>
      <c r="L35" s="80"/>
      <c r="M35" s="47"/>
    </row>
    <row r="36" spans="1:13" x14ac:dyDescent="0.25">
      <c r="A36" s="62"/>
      <c r="B36" s="24" t="s">
        <v>29</v>
      </c>
      <c r="C36" s="26"/>
      <c r="D36" s="35"/>
      <c r="E36" s="27"/>
      <c r="F36" s="52">
        <f>SUM(F31:F35)</f>
        <v>93000</v>
      </c>
      <c r="G36" s="77"/>
      <c r="H36" s="77"/>
      <c r="I36" s="78"/>
      <c r="J36" s="79"/>
      <c r="K36" s="31"/>
      <c r="L36" s="80"/>
      <c r="M36" s="47"/>
    </row>
    <row r="37" spans="1:13" x14ac:dyDescent="0.25">
      <c r="A37" s="70" t="s">
        <v>58</v>
      </c>
      <c r="B37" s="49" t="s">
        <v>59</v>
      </c>
      <c r="C37" s="26"/>
      <c r="D37" s="35"/>
      <c r="E37" s="27"/>
      <c r="F37" s="52"/>
      <c r="G37" s="77"/>
      <c r="H37" s="77"/>
      <c r="I37" s="78"/>
      <c r="J37" s="79"/>
      <c r="K37" s="31"/>
      <c r="L37" s="80"/>
      <c r="M37" s="47"/>
    </row>
    <row r="38" spans="1:13" x14ac:dyDescent="0.25">
      <c r="A38" s="53">
        <v>1.01</v>
      </c>
      <c r="B38" s="67" t="s">
        <v>60</v>
      </c>
      <c r="C38" s="26" t="s">
        <v>45</v>
      </c>
      <c r="D38" s="35">
        <v>4</v>
      </c>
      <c r="E38" s="57">
        <v>25252</v>
      </c>
      <c r="F38" s="27">
        <f t="shared" si="9"/>
        <v>101008</v>
      </c>
      <c r="G38" s="77"/>
      <c r="H38" s="77"/>
      <c r="I38" s="78"/>
      <c r="J38" s="79"/>
      <c r="K38" s="31"/>
      <c r="L38" s="80"/>
      <c r="M38" s="47"/>
    </row>
    <row r="39" spans="1:13" x14ac:dyDescent="0.25">
      <c r="A39" s="62">
        <f>A38+0.01</f>
        <v>1.02</v>
      </c>
      <c r="B39" s="67" t="s">
        <v>55</v>
      </c>
      <c r="C39" s="26" t="s">
        <v>45</v>
      </c>
      <c r="D39" s="35">
        <v>4</v>
      </c>
      <c r="E39" s="57">
        <v>2000</v>
      </c>
      <c r="F39" s="27">
        <f>E39*D39</f>
        <v>8000</v>
      </c>
      <c r="G39" s="77"/>
      <c r="H39" s="77"/>
      <c r="I39" s="78"/>
      <c r="J39" s="79"/>
      <c r="K39" s="31"/>
      <c r="L39" s="80"/>
      <c r="M39" s="47"/>
    </row>
    <row r="40" spans="1:13" x14ac:dyDescent="0.25">
      <c r="A40" s="62">
        <f t="shared" ref="A40:A41" si="11">A39+0.01</f>
        <v>1.03</v>
      </c>
      <c r="B40" s="67" t="s">
        <v>56</v>
      </c>
      <c r="C40" s="26" t="s">
        <v>45</v>
      </c>
      <c r="D40" s="35">
        <v>4</v>
      </c>
      <c r="E40" s="57">
        <v>1600</v>
      </c>
      <c r="F40" s="27">
        <f t="shared" ref="F40:F101" si="12">E40*D40</f>
        <v>6400</v>
      </c>
      <c r="G40" s="77"/>
      <c r="H40" s="77"/>
      <c r="I40" s="78"/>
      <c r="J40" s="79"/>
      <c r="K40" s="31"/>
      <c r="L40" s="80"/>
      <c r="M40" s="47"/>
    </row>
    <row r="41" spans="1:13" x14ac:dyDescent="0.25">
      <c r="A41" s="62">
        <f t="shared" si="11"/>
        <v>1.04</v>
      </c>
      <c r="B41" s="67" t="s">
        <v>61</v>
      </c>
      <c r="C41" s="26" t="s">
        <v>45</v>
      </c>
      <c r="D41" s="35">
        <v>4</v>
      </c>
      <c r="E41" s="57">
        <v>1610</v>
      </c>
      <c r="F41" s="27">
        <f t="shared" si="12"/>
        <v>6440</v>
      </c>
      <c r="G41" s="77"/>
      <c r="H41" s="77"/>
      <c r="I41" s="78"/>
      <c r="J41" s="79"/>
      <c r="K41" s="31"/>
      <c r="L41" s="80"/>
      <c r="M41" s="47"/>
    </row>
    <row r="42" spans="1:13" x14ac:dyDescent="0.25">
      <c r="A42" s="70"/>
      <c r="B42" s="24" t="s">
        <v>29</v>
      </c>
      <c r="C42" s="26"/>
      <c r="D42" s="81"/>
      <c r="E42" s="27"/>
      <c r="F42" s="52">
        <f>SUM(F38:F41)</f>
        <v>121848</v>
      </c>
      <c r="G42" s="77"/>
      <c r="H42" s="77"/>
      <c r="I42" s="78"/>
      <c r="J42" s="79"/>
      <c r="K42" s="31"/>
      <c r="L42" s="80"/>
      <c r="M42" s="47"/>
    </row>
    <row r="43" spans="1:13" x14ac:dyDescent="0.25">
      <c r="A43" s="70" t="s">
        <v>62</v>
      </c>
      <c r="B43" s="49" t="s">
        <v>63</v>
      </c>
      <c r="C43" s="26"/>
      <c r="D43" s="81"/>
      <c r="E43" s="27"/>
      <c r="F43" s="52"/>
      <c r="G43" s="77"/>
      <c r="H43" s="77"/>
      <c r="I43" s="78"/>
      <c r="J43" s="79"/>
      <c r="K43" s="31"/>
      <c r="L43" s="80"/>
      <c r="M43" s="47"/>
    </row>
    <row r="44" spans="1:13" x14ac:dyDescent="0.25">
      <c r="A44" s="53">
        <v>1.01</v>
      </c>
      <c r="B44" s="67" t="s">
        <v>64</v>
      </c>
      <c r="C44" s="26" t="s">
        <v>35</v>
      </c>
      <c r="D44" s="82">
        <v>118.98</v>
      </c>
      <c r="E44" s="63">
        <v>345</v>
      </c>
      <c r="F44" s="27">
        <f>E44*D44</f>
        <v>41048.1</v>
      </c>
      <c r="G44" s="77"/>
      <c r="H44" s="58">
        <f t="shared" ref="H44:H48" si="13">D44</f>
        <v>118.98</v>
      </c>
      <c r="I44" s="59">
        <f t="shared" ref="I44:I48" si="14">G44+H44</f>
        <v>118.98</v>
      </c>
      <c r="J44" s="60">
        <f t="shared" ref="J44:J48" si="15">H44/I44</f>
        <v>1</v>
      </c>
      <c r="K44" s="31"/>
      <c r="L44" s="61">
        <f t="shared" ref="L44:L48" si="16">H44*E44</f>
        <v>41048.1</v>
      </c>
      <c r="M44" s="42">
        <f t="shared" ref="M44:M49" si="17">K44+L44</f>
        <v>41048.1</v>
      </c>
    </row>
    <row r="45" spans="1:13" x14ac:dyDescent="0.25">
      <c r="A45" s="62">
        <f>A44+0.01</f>
        <v>1.02</v>
      </c>
      <c r="B45" s="67" t="s">
        <v>65</v>
      </c>
      <c r="C45" s="26" t="s">
        <v>35</v>
      </c>
      <c r="D45" s="82">
        <v>101.22</v>
      </c>
      <c r="E45" s="63">
        <v>345</v>
      </c>
      <c r="F45" s="27">
        <f t="shared" si="12"/>
        <v>34920.9</v>
      </c>
      <c r="G45" s="77"/>
      <c r="H45" s="58">
        <f t="shared" si="13"/>
        <v>101.22</v>
      </c>
      <c r="I45" s="59">
        <f t="shared" si="14"/>
        <v>101.22</v>
      </c>
      <c r="J45" s="60">
        <f t="shared" si="15"/>
        <v>1</v>
      </c>
      <c r="K45" s="31"/>
      <c r="L45" s="61">
        <f t="shared" si="16"/>
        <v>34920.9</v>
      </c>
      <c r="M45" s="42">
        <f t="shared" si="17"/>
        <v>34920.9</v>
      </c>
    </row>
    <row r="46" spans="1:13" x14ac:dyDescent="0.25">
      <c r="A46" s="62">
        <f t="shared" ref="A46:A48" si="18">A45+0.01</f>
        <v>1.03</v>
      </c>
      <c r="B46" s="67" t="s">
        <v>66</v>
      </c>
      <c r="C46" s="26" t="s">
        <v>35</v>
      </c>
      <c r="D46" s="82">
        <v>23.67</v>
      </c>
      <c r="E46" s="63">
        <v>157.30000000000001</v>
      </c>
      <c r="F46" s="27">
        <f t="shared" si="12"/>
        <v>3723.2910000000006</v>
      </c>
      <c r="G46" s="77"/>
      <c r="H46" s="58">
        <f t="shared" si="13"/>
        <v>23.67</v>
      </c>
      <c r="I46" s="59">
        <f t="shared" si="14"/>
        <v>23.67</v>
      </c>
      <c r="J46" s="60">
        <f t="shared" si="15"/>
        <v>1</v>
      </c>
      <c r="K46" s="31"/>
      <c r="L46" s="61">
        <f t="shared" si="16"/>
        <v>3723.2910000000006</v>
      </c>
      <c r="M46" s="42">
        <f t="shared" si="17"/>
        <v>3723.2910000000006</v>
      </c>
    </row>
    <row r="47" spans="1:13" ht="24" x14ac:dyDescent="0.25">
      <c r="A47" s="62">
        <f t="shared" si="18"/>
        <v>1.04</v>
      </c>
      <c r="B47" s="75" t="s">
        <v>67</v>
      </c>
      <c r="C47" s="26" t="s">
        <v>35</v>
      </c>
      <c r="D47" s="82">
        <v>257.39</v>
      </c>
      <c r="E47" s="63">
        <v>157.30000000000001</v>
      </c>
      <c r="F47" s="27">
        <f t="shared" si="12"/>
        <v>40487.447</v>
      </c>
      <c r="G47" s="77"/>
      <c r="H47" s="58">
        <f t="shared" si="13"/>
        <v>257.39</v>
      </c>
      <c r="I47" s="59">
        <f t="shared" si="14"/>
        <v>257.39</v>
      </c>
      <c r="J47" s="60">
        <f t="shared" si="15"/>
        <v>1</v>
      </c>
      <c r="K47" s="31"/>
      <c r="L47" s="61">
        <f t="shared" si="16"/>
        <v>40487.447</v>
      </c>
      <c r="M47" s="42">
        <f t="shared" si="17"/>
        <v>40487.447</v>
      </c>
    </row>
    <row r="48" spans="1:13" x14ac:dyDescent="0.25">
      <c r="A48" s="62">
        <f t="shared" si="18"/>
        <v>1.05</v>
      </c>
      <c r="B48" s="67" t="s">
        <v>68</v>
      </c>
      <c r="C48" s="26" t="s">
        <v>35</v>
      </c>
      <c r="D48" s="82">
        <v>364</v>
      </c>
      <c r="E48" s="63">
        <v>157.30000000000001</v>
      </c>
      <c r="F48" s="27">
        <f t="shared" si="12"/>
        <v>57257.200000000004</v>
      </c>
      <c r="G48" s="77"/>
      <c r="H48" s="58">
        <f t="shared" si="13"/>
        <v>364</v>
      </c>
      <c r="I48" s="59">
        <f t="shared" si="14"/>
        <v>364</v>
      </c>
      <c r="J48" s="60">
        <f t="shared" si="15"/>
        <v>1</v>
      </c>
      <c r="K48" s="31"/>
      <c r="L48" s="61">
        <f t="shared" si="16"/>
        <v>57257.200000000004</v>
      </c>
      <c r="M48" s="42">
        <f t="shared" si="17"/>
        <v>57257.200000000004</v>
      </c>
    </row>
    <row r="49" spans="1:13" x14ac:dyDescent="0.25">
      <c r="A49" s="70"/>
      <c r="B49" s="24" t="s">
        <v>29</v>
      </c>
      <c r="C49" s="26"/>
      <c r="D49" s="81"/>
      <c r="E49" s="27"/>
      <c r="F49" s="52">
        <f>SUM(F44:F48)</f>
        <v>177436.93799999999</v>
      </c>
      <c r="G49" s="77"/>
      <c r="H49" s="77"/>
      <c r="I49" s="78"/>
      <c r="J49" s="79"/>
      <c r="K49" s="31"/>
      <c r="L49" s="80">
        <f>SUM(L44:L48)</f>
        <v>177436.93799999999</v>
      </c>
      <c r="M49" s="47">
        <f t="shared" si="17"/>
        <v>177436.93799999999</v>
      </c>
    </row>
    <row r="50" spans="1:13" x14ac:dyDescent="0.25">
      <c r="A50" s="70" t="s">
        <v>69</v>
      </c>
      <c r="B50" s="49" t="s">
        <v>70</v>
      </c>
      <c r="C50" s="26"/>
      <c r="D50" s="81"/>
      <c r="E50" s="27"/>
      <c r="F50" s="52"/>
      <c r="G50" s="77"/>
      <c r="H50" s="77"/>
      <c r="I50" s="78"/>
      <c r="J50" s="79"/>
      <c r="K50" s="31"/>
      <c r="L50" s="80"/>
      <c r="M50" s="47"/>
    </row>
    <row r="51" spans="1:13" x14ac:dyDescent="0.25">
      <c r="A51" s="53">
        <v>1.01</v>
      </c>
      <c r="B51" s="67" t="s">
        <v>71</v>
      </c>
      <c r="C51" s="26" t="s">
        <v>35</v>
      </c>
      <c r="D51" s="82">
        <v>254.8</v>
      </c>
      <c r="E51" s="57">
        <v>1665</v>
      </c>
      <c r="F51" s="27">
        <f t="shared" si="12"/>
        <v>424242</v>
      </c>
      <c r="G51" s="77"/>
      <c r="H51" s="58">
        <f t="shared" ref="H51:H55" si="19">D51</f>
        <v>254.8</v>
      </c>
      <c r="I51" s="59">
        <f t="shared" ref="I51:I55" si="20">G51+H51</f>
        <v>254.8</v>
      </c>
      <c r="J51" s="60">
        <f t="shared" ref="J51:J55" si="21">H51/I51</f>
        <v>1</v>
      </c>
      <c r="K51" s="31"/>
      <c r="L51" s="61">
        <f t="shared" ref="L51:L55" si="22">H51*E51</f>
        <v>424242</v>
      </c>
      <c r="M51" s="42">
        <f t="shared" ref="M51:M56" si="23">K51+L51</f>
        <v>424242</v>
      </c>
    </row>
    <row r="52" spans="1:13" x14ac:dyDescent="0.25">
      <c r="A52" s="62">
        <f>A51+0.01</f>
        <v>1.02</v>
      </c>
      <c r="B52" s="67" t="s">
        <v>72</v>
      </c>
      <c r="C52" s="26" t="s">
        <v>38</v>
      </c>
      <c r="D52" s="82">
        <v>14.33</v>
      </c>
      <c r="E52" s="57">
        <v>8435</v>
      </c>
      <c r="F52" s="27">
        <f t="shared" si="12"/>
        <v>120873.55</v>
      </c>
      <c r="G52" s="77"/>
      <c r="H52" s="58">
        <f t="shared" si="19"/>
        <v>14.33</v>
      </c>
      <c r="I52" s="59">
        <f t="shared" si="20"/>
        <v>14.33</v>
      </c>
      <c r="J52" s="60">
        <f t="shared" si="21"/>
        <v>1</v>
      </c>
      <c r="K52" s="31"/>
      <c r="L52" s="61">
        <f t="shared" si="22"/>
        <v>120873.55</v>
      </c>
      <c r="M52" s="42">
        <f t="shared" si="23"/>
        <v>120873.55</v>
      </c>
    </row>
    <row r="53" spans="1:13" x14ac:dyDescent="0.25">
      <c r="A53" s="62">
        <f t="shared" ref="A53:A55" si="24">A52+0.01</f>
        <v>1.03</v>
      </c>
      <c r="B53" s="67" t="s">
        <v>73</v>
      </c>
      <c r="C53" s="26" t="s">
        <v>38</v>
      </c>
      <c r="D53" s="82">
        <v>43.68</v>
      </c>
      <c r="E53" s="63">
        <v>159.91999999999999</v>
      </c>
      <c r="F53" s="27">
        <f t="shared" si="12"/>
        <v>6985.3055999999997</v>
      </c>
      <c r="G53" s="77"/>
      <c r="H53" s="58">
        <f t="shared" si="19"/>
        <v>43.68</v>
      </c>
      <c r="I53" s="59">
        <f t="shared" si="20"/>
        <v>43.68</v>
      </c>
      <c r="J53" s="60">
        <f t="shared" si="21"/>
        <v>1</v>
      </c>
      <c r="K53" s="31"/>
      <c r="L53" s="61">
        <f t="shared" si="22"/>
        <v>6985.3055999999997</v>
      </c>
      <c r="M53" s="42">
        <f t="shared" si="23"/>
        <v>6985.3055999999997</v>
      </c>
    </row>
    <row r="54" spans="1:13" x14ac:dyDescent="0.25">
      <c r="A54" s="62">
        <f t="shared" si="24"/>
        <v>1.04</v>
      </c>
      <c r="B54" s="67" t="s">
        <v>74</v>
      </c>
      <c r="C54" s="26" t="s">
        <v>38</v>
      </c>
      <c r="D54" s="82">
        <v>56.78</v>
      </c>
      <c r="E54" s="63">
        <v>280</v>
      </c>
      <c r="F54" s="27">
        <f t="shared" si="12"/>
        <v>15898.4</v>
      </c>
      <c r="G54" s="77"/>
      <c r="H54" s="58">
        <f t="shared" si="19"/>
        <v>56.78</v>
      </c>
      <c r="I54" s="59">
        <f t="shared" si="20"/>
        <v>56.78</v>
      </c>
      <c r="J54" s="60">
        <f t="shared" si="21"/>
        <v>1</v>
      </c>
      <c r="K54" s="31"/>
      <c r="L54" s="61">
        <f t="shared" si="22"/>
        <v>15898.4</v>
      </c>
      <c r="M54" s="42">
        <f t="shared" si="23"/>
        <v>15898.4</v>
      </c>
    </row>
    <row r="55" spans="1:13" x14ac:dyDescent="0.25">
      <c r="A55" s="62">
        <f t="shared" si="24"/>
        <v>1.05</v>
      </c>
      <c r="B55" s="67" t="s">
        <v>75</v>
      </c>
      <c r="C55" s="26" t="s">
        <v>35</v>
      </c>
      <c r="D55" s="82">
        <v>364</v>
      </c>
      <c r="E55" s="63">
        <v>335.9</v>
      </c>
      <c r="F55" s="27">
        <f t="shared" si="12"/>
        <v>122267.59999999999</v>
      </c>
      <c r="G55" s="77"/>
      <c r="H55" s="58">
        <f t="shared" si="19"/>
        <v>364</v>
      </c>
      <c r="I55" s="59">
        <f t="shared" si="20"/>
        <v>364</v>
      </c>
      <c r="J55" s="60">
        <f t="shared" si="21"/>
        <v>1</v>
      </c>
      <c r="K55" s="31"/>
      <c r="L55" s="61">
        <f t="shared" si="22"/>
        <v>122267.59999999999</v>
      </c>
      <c r="M55" s="42">
        <f t="shared" si="23"/>
        <v>122267.59999999999</v>
      </c>
    </row>
    <row r="56" spans="1:13" x14ac:dyDescent="0.25">
      <c r="A56" s="70"/>
      <c r="B56" s="24" t="s">
        <v>29</v>
      </c>
      <c r="C56" s="26"/>
      <c r="D56" s="82"/>
      <c r="E56" s="27"/>
      <c r="F56" s="52">
        <f>SUM(F51:F55)</f>
        <v>690266.85560000001</v>
      </c>
      <c r="G56" s="77"/>
      <c r="H56" s="77"/>
      <c r="I56" s="78"/>
      <c r="J56" s="79"/>
      <c r="K56" s="31"/>
      <c r="L56" s="80">
        <f>SUM(L51:L55)</f>
        <v>690266.85560000001</v>
      </c>
      <c r="M56" s="47">
        <f t="shared" si="23"/>
        <v>690266.85560000001</v>
      </c>
    </row>
    <row r="57" spans="1:13" x14ac:dyDescent="0.25">
      <c r="A57" s="70" t="s">
        <v>76</v>
      </c>
      <c r="B57" s="49" t="s">
        <v>77</v>
      </c>
      <c r="C57" s="26"/>
      <c r="D57" s="82"/>
      <c r="E57" s="27"/>
      <c r="F57" s="52"/>
      <c r="G57" s="77"/>
      <c r="H57" s="77"/>
      <c r="I57" s="78"/>
      <c r="J57" s="79"/>
      <c r="K57" s="31"/>
      <c r="L57" s="80"/>
      <c r="M57" s="47"/>
    </row>
    <row r="58" spans="1:13" x14ac:dyDescent="0.25">
      <c r="A58" s="53">
        <v>1.01</v>
      </c>
      <c r="B58" s="67" t="s">
        <v>78</v>
      </c>
      <c r="C58" s="26" t="s">
        <v>79</v>
      </c>
      <c r="D58" s="82">
        <v>1</v>
      </c>
      <c r="E58" s="57">
        <v>14998.3</v>
      </c>
      <c r="F58" s="27">
        <f t="shared" si="12"/>
        <v>14998.3</v>
      </c>
      <c r="G58" s="77"/>
      <c r="H58" s="58">
        <f t="shared" ref="H58:H61" si="25">D58</f>
        <v>1</v>
      </c>
      <c r="I58" s="59">
        <f t="shared" ref="I58:I61" si="26">G58+H58</f>
        <v>1</v>
      </c>
      <c r="J58" s="60">
        <f t="shared" ref="J58:J61" si="27">H58/I58</f>
        <v>1</v>
      </c>
      <c r="K58" s="31"/>
      <c r="L58" s="61">
        <f t="shared" ref="L58:L61" si="28">H58*E58</f>
        <v>14998.3</v>
      </c>
      <c r="M58" s="42">
        <f t="shared" ref="M58:M62" si="29">K58+L58</f>
        <v>14998.3</v>
      </c>
    </row>
    <row r="59" spans="1:13" x14ac:dyDescent="0.25">
      <c r="A59" s="62">
        <f>A58+0.01</f>
        <v>1.02</v>
      </c>
      <c r="B59" s="67" t="s">
        <v>80</v>
      </c>
      <c r="C59" s="26" t="s">
        <v>79</v>
      </c>
      <c r="D59" s="82">
        <v>1</v>
      </c>
      <c r="E59" s="57">
        <v>16000</v>
      </c>
      <c r="F59" s="27">
        <f t="shared" si="12"/>
        <v>16000</v>
      </c>
      <c r="G59" s="77"/>
      <c r="H59" s="58">
        <f t="shared" si="25"/>
        <v>1</v>
      </c>
      <c r="I59" s="59">
        <f t="shared" si="26"/>
        <v>1</v>
      </c>
      <c r="J59" s="60">
        <f t="shared" si="27"/>
        <v>1</v>
      </c>
      <c r="K59" s="31"/>
      <c r="L59" s="61">
        <f t="shared" si="28"/>
        <v>16000</v>
      </c>
      <c r="M59" s="42">
        <f t="shared" si="29"/>
        <v>16000</v>
      </c>
    </row>
    <row r="60" spans="1:13" ht="24" x14ac:dyDescent="0.25">
      <c r="A60" s="62">
        <f t="shared" ref="A60:A61" si="30">A59+0.01</f>
        <v>1.03</v>
      </c>
      <c r="B60" s="75" t="s">
        <v>81</v>
      </c>
      <c r="C60" s="26" t="s">
        <v>79</v>
      </c>
      <c r="D60" s="82">
        <v>1</v>
      </c>
      <c r="E60" s="57">
        <v>12000</v>
      </c>
      <c r="F60" s="27">
        <f t="shared" si="12"/>
        <v>12000</v>
      </c>
      <c r="G60" s="77"/>
      <c r="H60" s="58">
        <f t="shared" si="25"/>
        <v>1</v>
      </c>
      <c r="I60" s="59">
        <f t="shared" si="26"/>
        <v>1</v>
      </c>
      <c r="J60" s="60">
        <f t="shared" si="27"/>
        <v>1</v>
      </c>
      <c r="K60" s="31"/>
      <c r="L60" s="61">
        <f t="shared" si="28"/>
        <v>12000</v>
      </c>
      <c r="M60" s="42">
        <f t="shared" si="29"/>
        <v>12000</v>
      </c>
    </row>
    <row r="61" spans="1:13" ht="24" x14ac:dyDescent="0.25">
      <c r="A61" s="62">
        <f t="shared" si="30"/>
        <v>1.04</v>
      </c>
      <c r="B61" s="75" t="s">
        <v>82</v>
      </c>
      <c r="C61" s="26" t="s">
        <v>79</v>
      </c>
      <c r="D61" s="83">
        <v>1</v>
      </c>
      <c r="E61" s="57">
        <v>7500</v>
      </c>
      <c r="F61" s="27">
        <f t="shared" si="12"/>
        <v>7500</v>
      </c>
      <c r="G61" s="77"/>
      <c r="H61" s="58">
        <f t="shared" si="25"/>
        <v>1</v>
      </c>
      <c r="I61" s="59">
        <f t="shared" si="26"/>
        <v>1</v>
      </c>
      <c r="J61" s="60">
        <f t="shared" si="27"/>
        <v>1</v>
      </c>
      <c r="K61" s="31"/>
      <c r="L61" s="61">
        <f t="shared" si="28"/>
        <v>7500</v>
      </c>
      <c r="M61" s="42">
        <f t="shared" si="29"/>
        <v>7500</v>
      </c>
    </row>
    <row r="62" spans="1:13" x14ac:dyDescent="0.25">
      <c r="A62" s="62"/>
      <c r="B62" s="24" t="s">
        <v>29</v>
      </c>
      <c r="C62" s="26"/>
      <c r="D62" s="81"/>
      <c r="E62" s="27"/>
      <c r="F62" s="52">
        <f>SUM(F58:F61)</f>
        <v>50498.3</v>
      </c>
      <c r="G62" s="77"/>
      <c r="H62" s="77"/>
      <c r="I62" s="78"/>
      <c r="J62" s="79"/>
      <c r="K62" s="31"/>
      <c r="L62" s="80">
        <f>SUM(L58:L61)</f>
        <v>50498.3</v>
      </c>
      <c r="M62" s="47">
        <f t="shared" si="29"/>
        <v>50498.3</v>
      </c>
    </row>
    <row r="63" spans="1:13" x14ac:dyDescent="0.25">
      <c r="A63" s="84" t="s">
        <v>83</v>
      </c>
      <c r="B63" s="49" t="s">
        <v>84</v>
      </c>
      <c r="C63" s="50"/>
      <c r="D63" s="85"/>
      <c r="E63" s="27"/>
      <c r="F63" s="52"/>
      <c r="G63" s="77"/>
      <c r="H63" s="77"/>
      <c r="I63" s="78"/>
      <c r="J63" s="79"/>
      <c r="K63" s="31"/>
      <c r="L63" s="80"/>
      <c r="M63" s="47"/>
    </row>
    <row r="64" spans="1:13" x14ac:dyDescent="0.25">
      <c r="A64" s="53">
        <v>1.01</v>
      </c>
      <c r="B64" s="67" t="s">
        <v>85</v>
      </c>
      <c r="C64" s="26" t="s">
        <v>35</v>
      </c>
      <c r="D64" s="82">
        <v>40.799999999999997</v>
      </c>
      <c r="E64" s="63">
        <v>200</v>
      </c>
      <c r="F64" s="27">
        <f t="shared" si="12"/>
        <v>8159.9999999999991</v>
      </c>
      <c r="G64" s="77"/>
      <c r="H64" s="58">
        <f t="shared" ref="H64:H67" si="31">D64</f>
        <v>40.799999999999997</v>
      </c>
      <c r="I64" s="59">
        <f t="shared" ref="I64:I67" si="32">G64+H64</f>
        <v>40.799999999999997</v>
      </c>
      <c r="J64" s="60">
        <f t="shared" ref="J64:J67" si="33">H64/I64</f>
        <v>1</v>
      </c>
      <c r="K64" s="31"/>
      <c r="L64" s="61">
        <f t="shared" ref="L64:L67" si="34">H64*E64</f>
        <v>8159.9999999999991</v>
      </c>
      <c r="M64" s="42">
        <f t="shared" ref="M64:M68" si="35">K64+L64</f>
        <v>8159.9999999999991</v>
      </c>
    </row>
    <row r="65" spans="1:13" x14ac:dyDescent="0.25">
      <c r="A65" s="62">
        <f>A64+0.01</f>
        <v>1.02</v>
      </c>
      <c r="B65" s="67" t="s">
        <v>74</v>
      </c>
      <c r="C65" s="26" t="s">
        <v>38</v>
      </c>
      <c r="D65" s="82">
        <v>11.68</v>
      </c>
      <c r="E65" s="63">
        <v>280</v>
      </c>
      <c r="F65" s="27">
        <f t="shared" si="12"/>
        <v>3270.4</v>
      </c>
      <c r="G65" s="77"/>
      <c r="H65" s="58">
        <f t="shared" si="31"/>
        <v>11.68</v>
      </c>
      <c r="I65" s="59">
        <f t="shared" si="32"/>
        <v>11.68</v>
      </c>
      <c r="J65" s="60">
        <f t="shared" si="33"/>
        <v>1</v>
      </c>
      <c r="K65" s="31"/>
      <c r="L65" s="61">
        <f t="shared" si="34"/>
        <v>3270.4</v>
      </c>
      <c r="M65" s="42">
        <f t="shared" si="35"/>
        <v>3270.4</v>
      </c>
    </row>
    <row r="66" spans="1:13" x14ac:dyDescent="0.25">
      <c r="A66" s="62">
        <f t="shared" ref="A66:A67" si="36">A65+0.01</f>
        <v>1.03</v>
      </c>
      <c r="B66" s="67" t="s">
        <v>86</v>
      </c>
      <c r="C66" s="26" t="s">
        <v>38</v>
      </c>
      <c r="D66" s="82">
        <v>6.12</v>
      </c>
      <c r="E66" s="57">
        <v>16972</v>
      </c>
      <c r="F66" s="27">
        <f t="shared" si="12"/>
        <v>103868.64</v>
      </c>
      <c r="G66" s="77"/>
      <c r="H66" s="58">
        <f t="shared" si="31"/>
        <v>6.12</v>
      </c>
      <c r="I66" s="59">
        <f t="shared" si="32"/>
        <v>6.12</v>
      </c>
      <c r="J66" s="60">
        <f t="shared" si="33"/>
        <v>1</v>
      </c>
      <c r="K66" s="31"/>
      <c r="L66" s="61">
        <f t="shared" si="34"/>
        <v>103868.64</v>
      </c>
      <c r="M66" s="42">
        <f t="shared" si="35"/>
        <v>103868.64</v>
      </c>
    </row>
    <row r="67" spans="1:13" x14ac:dyDescent="0.25">
      <c r="A67" s="62">
        <f t="shared" si="36"/>
        <v>1.04</v>
      </c>
      <c r="B67" s="67" t="s">
        <v>87</v>
      </c>
      <c r="C67" s="26" t="s">
        <v>35</v>
      </c>
      <c r="D67" s="82">
        <v>40.86</v>
      </c>
      <c r="E67" s="63">
        <v>349.89</v>
      </c>
      <c r="F67" s="27">
        <f t="shared" si="12"/>
        <v>14296.5054</v>
      </c>
      <c r="G67" s="77"/>
      <c r="H67" s="58">
        <f t="shared" si="31"/>
        <v>40.86</v>
      </c>
      <c r="I67" s="59">
        <f t="shared" si="32"/>
        <v>40.86</v>
      </c>
      <c r="J67" s="60">
        <f t="shared" si="33"/>
        <v>1</v>
      </c>
      <c r="K67" s="31"/>
      <c r="L67" s="61">
        <f t="shared" si="34"/>
        <v>14296.5054</v>
      </c>
      <c r="M67" s="42">
        <f t="shared" si="35"/>
        <v>14296.5054</v>
      </c>
    </row>
    <row r="68" spans="1:13" x14ac:dyDescent="0.25">
      <c r="A68" s="62"/>
      <c r="B68" s="24" t="s">
        <v>29</v>
      </c>
      <c r="C68" s="26"/>
      <c r="D68" s="81"/>
      <c r="E68" s="27"/>
      <c r="F68" s="52">
        <f>SUM(F64:F67)</f>
        <v>129595.54539999999</v>
      </c>
      <c r="G68" s="77"/>
      <c r="H68" s="77"/>
      <c r="I68" s="78"/>
      <c r="J68" s="79"/>
      <c r="K68" s="31"/>
      <c r="L68" s="80">
        <f>SUM(L64:L67)</f>
        <v>129595.54539999999</v>
      </c>
      <c r="M68" s="47">
        <f t="shared" si="35"/>
        <v>129595.54539999999</v>
      </c>
    </row>
    <row r="69" spans="1:13" ht="24" x14ac:dyDescent="0.25">
      <c r="A69" s="84" t="s">
        <v>88</v>
      </c>
      <c r="B69" s="86" t="s">
        <v>89</v>
      </c>
      <c r="C69" s="50"/>
      <c r="D69" s="85"/>
      <c r="E69" s="27"/>
      <c r="F69" s="52"/>
      <c r="G69" s="77"/>
      <c r="H69" s="77"/>
      <c r="I69" s="78"/>
      <c r="J69" s="79"/>
      <c r="K69" s="31"/>
      <c r="L69" s="80"/>
      <c r="M69" s="47"/>
    </row>
    <row r="70" spans="1:13" x14ac:dyDescent="0.25">
      <c r="A70" s="53">
        <v>1.01</v>
      </c>
      <c r="B70" s="67" t="s">
        <v>85</v>
      </c>
      <c r="C70" s="26" t="s">
        <v>35</v>
      </c>
      <c r="D70" s="82">
        <v>36.6</v>
      </c>
      <c r="E70" s="63">
        <v>85</v>
      </c>
      <c r="F70" s="27">
        <f t="shared" si="12"/>
        <v>3111</v>
      </c>
      <c r="G70" s="77"/>
      <c r="H70" s="77"/>
      <c r="I70" s="78"/>
      <c r="J70" s="79"/>
      <c r="K70" s="31"/>
      <c r="L70" s="80"/>
      <c r="M70" s="47"/>
    </row>
    <row r="71" spans="1:13" x14ac:dyDescent="0.25">
      <c r="A71" s="62">
        <f>A70+0.01</f>
        <v>1.02</v>
      </c>
      <c r="B71" s="67" t="s">
        <v>74</v>
      </c>
      <c r="C71" s="26" t="s">
        <v>38</v>
      </c>
      <c r="D71" s="82">
        <v>4.76</v>
      </c>
      <c r="E71" s="63">
        <v>280</v>
      </c>
      <c r="F71" s="27">
        <f t="shared" si="12"/>
        <v>1332.8</v>
      </c>
      <c r="G71" s="77"/>
      <c r="H71" s="77"/>
      <c r="I71" s="78"/>
      <c r="J71" s="79"/>
      <c r="K71" s="31"/>
      <c r="L71" s="80"/>
      <c r="M71" s="47"/>
    </row>
    <row r="72" spans="1:13" x14ac:dyDescent="0.25">
      <c r="A72" s="62">
        <f>A71+0.01</f>
        <v>1.03</v>
      </c>
      <c r="B72" s="67" t="s">
        <v>90</v>
      </c>
      <c r="C72" s="26" t="s">
        <v>35</v>
      </c>
      <c r="D72" s="82">
        <v>36.6</v>
      </c>
      <c r="E72" s="63">
        <v>1530</v>
      </c>
      <c r="F72" s="27">
        <f t="shared" si="12"/>
        <v>55998</v>
      </c>
      <c r="G72" s="77"/>
      <c r="H72" s="77"/>
      <c r="I72" s="78"/>
      <c r="J72" s="79"/>
      <c r="K72" s="31"/>
      <c r="L72" s="80"/>
      <c r="M72" s="47"/>
    </row>
    <row r="73" spans="1:13" x14ac:dyDescent="0.25">
      <c r="A73" s="62"/>
      <c r="B73" s="24" t="s">
        <v>29</v>
      </c>
      <c r="C73" s="26"/>
      <c r="D73" s="81"/>
      <c r="E73" s="27"/>
      <c r="F73" s="52">
        <f>SUM(F70:F72)</f>
        <v>60441.8</v>
      </c>
      <c r="G73" s="77"/>
      <c r="H73" s="77"/>
      <c r="I73" s="78"/>
      <c r="J73" s="79"/>
      <c r="K73" s="31"/>
      <c r="L73" s="80"/>
      <c r="M73" s="47"/>
    </row>
    <row r="74" spans="1:13" x14ac:dyDescent="0.25">
      <c r="A74" s="84" t="s">
        <v>91</v>
      </c>
      <c r="B74" s="49" t="s">
        <v>92</v>
      </c>
      <c r="C74" s="50"/>
      <c r="D74" s="85"/>
      <c r="E74" s="27"/>
      <c r="F74" s="52"/>
      <c r="G74" s="77"/>
      <c r="H74" s="77"/>
      <c r="I74" s="78"/>
      <c r="J74" s="79"/>
      <c r="K74" s="31"/>
      <c r="L74" s="80"/>
      <c r="M74" s="47"/>
    </row>
    <row r="75" spans="1:13" x14ac:dyDescent="0.25">
      <c r="A75" s="53">
        <v>1.01</v>
      </c>
      <c r="B75" s="67" t="s">
        <v>85</v>
      </c>
      <c r="C75" s="26" t="s">
        <v>35</v>
      </c>
      <c r="D75" s="82">
        <v>23.67</v>
      </c>
      <c r="E75" s="63">
        <v>200</v>
      </c>
      <c r="F75" s="27">
        <f t="shared" si="12"/>
        <v>4734</v>
      </c>
      <c r="G75" s="77"/>
      <c r="H75" s="58">
        <f t="shared" ref="H75:H80" si="37">D75</f>
        <v>23.67</v>
      </c>
      <c r="I75" s="59">
        <f t="shared" ref="I75:I80" si="38">G75+H75</f>
        <v>23.67</v>
      </c>
      <c r="J75" s="60">
        <f t="shared" ref="J75:J80" si="39">H75/I75</f>
        <v>1</v>
      </c>
      <c r="K75" s="31"/>
      <c r="L75" s="61">
        <f t="shared" ref="L75:L80" si="40">H75*E75</f>
        <v>4734</v>
      </c>
      <c r="M75" s="42">
        <f t="shared" ref="M75:M81" si="41">K75+L75</f>
        <v>4734</v>
      </c>
    </row>
    <row r="76" spans="1:13" x14ac:dyDescent="0.25">
      <c r="A76" s="62">
        <f>A75+0.01</f>
        <v>1.02</v>
      </c>
      <c r="B76" s="67" t="s">
        <v>74</v>
      </c>
      <c r="C76" s="26" t="s">
        <v>38</v>
      </c>
      <c r="D76" s="82">
        <v>6.15</v>
      </c>
      <c r="E76" s="63">
        <v>280</v>
      </c>
      <c r="F76" s="27">
        <f t="shared" si="12"/>
        <v>1722</v>
      </c>
      <c r="G76" s="77"/>
      <c r="H76" s="58">
        <f t="shared" si="37"/>
        <v>6.15</v>
      </c>
      <c r="I76" s="59">
        <f t="shared" si="38"/>
        <v>6.15</v>
      </c>
      <c r="J76" s="60">
        <f t="shared" si="39"/>
        <v>1</v>
      </c>
      <c r="K76" s="31"/>
      <c r="L76" s="61">
        <f t="shared" si="40"/>
        <v>1722</v>
      </c>
      <c r="M76" s="42">
        <f t="shared" si="41"/>
        <v>1722</v>
      </c>
    </row>
    <row r="77" spans="1:13" x14ac:dyDescent="0.25">
      <c r="A77" s="62">
        <f t="shared" ref="A77:A80" si="42">A76+0.01</f>
        <v>1.03</v>
      </c>
      <c r="B77" s="67" t="s">
        <v>93</v>
      </c>
      <c r="C77" s="26" t="s">
        <v>35</v>
      </c>
      <c r="D77" s="82">
        <v>18.61</v>
      </c>
      <c r="E77" s="57">
        <v>1050.52</v>
      </c>
      <c r="F77" s="27">
        <f t="shared" si="12"/>
        <v>19550.177199999998</v>
      </c>
      <c r="G77" s="77"/>
      <c r="H77" s="58">
        <f t="shared" si="37"/>
        <v>18.61</v>
      </c>
      <c r="I77" s="59">
        <f t="shared" si="38"/>
        <v>18.61</v>
      </c>
      <c r="J77" s="60">
        <f t="shared" si="39"/>
        <v>1</v>
      </c>
      <c r="K77" s="31"/>
      <c r="L77" s="61">
        <f t="shared" si="40"/>
        <v>19550.177199999998</v>
      </c>
      <c r="M77" s="42">
        <f t="shared" si="41"/>
        <v>19550.177199999998</v>
      </c>
    </row>
    <row r="78" spans="1:13" x14ac:dyDescent="0.25">
      <c r="A78" s="62">
        <f t="shared" si="42"/>
        <v>1.04</v>
      </c>
      <c r="B78" s="67" t="s">
        <v>75</v>
      </c>
      <c r="C78" s="26" t="s">
        <v>35</v>
      </c>
      <c r="D78" s="82">
        <v>42.28</v>
      </c>
      <c r="E78" s="63">
        <v>335.9</v>
      </c>
      <c r="F78" s="27">
        <f t="shared" si="12"/>
        <v>14201.851999999999</v>
      </c>
      <c r="G78" s="77"/>
      <c r="H78" s="58">
        <f t="shared" si="37"/>
        <v>42.28</v>
      </c>
      <c r="I78" s="59">
        <f t="shared" si="38"/>
        <v>42.28</v>
      </c>
      <c r="J78" s="60">
        <f t="shared" si="39"/>
        <v>1</v>
      </c>
      <c r="K78" s="31"/>
      <c r="L78" s="61">
        <f t="shared" si="40"/>
        <v>14201.851999999999</v>
      </c>
      <c r="M78" s="42">
        <f t="shared" si="41"/>
        <v>14201.851999999999</v>
      </c>
    </row>
    <row r="79" spans="1:13" x14ac:dyDescent="0.25">
      <c r="A79" s="62">
        <f t="shared" si="42"/>
        <v>1.05</v>
      </c>
      <c r="B79" s="67" t="s">
        <v>94</v>
      </c>
      <c r="C79" s="26" t="s">
        <v>38</v>
      </c>
      <c r="D79" s="82">
        <v>0.61</v>
      </c>
      <c r="E79" s="57">
        <v>16972</v>
      </c>
      <c r="F79" s="27">
        <f t="shared" si="12"/>
        <v>10352.92</v>
      </c>
      <c r="G79" s="77"/>
      <c r="H79" s="58">
        <f t="shared" si="37"/>
        <v>0.61</v>
      </c>
      <c r="I79" s="59">
        <f t="shared" si="38"/>
        <v>0.61</v>
      </c>
      <c r="J79" s="60">
        <f t="shared" si="39"/>
        <v>1</v>
      </c>
      <c r="K79" s="31"/>
      <c r="L79" s="61">
        <f t="shared" si="40"/>
        <v>10352.92</v>
      </c>
      <c r="M79" s="42">
        <f t="shared" si="41"/>
        <v>10352.92</v>
      </c>
    </row>
    <row r="80" spans="1:13" x14ac:dyDescent="0.25">
      <c r="A80" s="62">
        <f t="shared" si="42"/>
        <v>1.06</v>
      </c>
      <c r="B80" s="67" t="s">
        <v>87</v>
      </c>
      <c r="C80" s="26" t="s">
        <v>35</v>
      </c>
      <c r="D80" s="82">
        <v>5.0599999999999996</v>
      </c>
      <c r="E80" s="63">
        <v>349.89</v>
      </c>
      <c r="F80" s="27">
        <f t="shared" si="12"/>
        <v>1770.4433999999999</v>
      </c>
      <c r="G80" s="77"/>
      <c r="H80" s="58">
        <f t="shared" si="37"/>
        <v>5.0599999999999996</v>
      </c>
      <c r="I80" s="59">
        <f t="shared" si="38"/>
        <v>5.0599999999999996</v>
      </c>
      <c r="J80" s="60">
        <f t="shared" si="39"/>
        <v>1</v>
      </c>
      <c r="K80" s="31"/>
      <c r="L80" s="61">
        <f t="shared" si="40"/>
        <v>1770.4433999999999</v>
      </c>
      <c r="M80" s="42">
        <f t="shared" si="41"/>
        <v>1770.4433999999999</v>
      </c>
    </row>
    <row r="81" spans="1:13" x14ac:dyDescent="0.25">
      <c r="A81" s="62"/>
      <c r="B81" s="49" t="s">
        <v>95</v>
      </c>
      <c r="C81" s="26"/>
      <c r="D81" s="81"/>
      <c r="E81" s="27"/>
      <c r="F81" s="52">
        <f>SUM(F75:F80)</f>
        <v>52331.392599999992</v>
      </c>
      <c r="G81" s="77"/>
      <c r="H81" s="77"/>
      <c r="I81" s="78"/>
      <c r="J81" s="79"/>
      <c r="K81" s="31"/>
      <c r="L81" s="80">
        <f>SUM(L75:L80)</f>
        <v>52331.392599999992</v>
      </c>
      <c r="M81" s="47">
        <f t="shared" si="41"/>
        <v>52331.392599999992</v>
      </c>
    </row>
    <row r="82" spans="1:13" x14ac:dyDescent="0.25">
      <c r="A82" s="62"/>
      <c r="B82" s="49" t="s">
        <v>96</v>
      </c>
      <c r="C82" s="26"/>
      <c r="D82" s="81"/>
      <c r="E82" s="27"/>
      <c r="F82" s="52">
        <f>F81+F73+F68+F56+F49+F42+F36+F29+F21+F12+F62</f>
        <v>2053758.2066000002</v>
      </c>
      <c r="G82" s="77"/>
      <c r="H82" s="77"/>
      <c r="I82" s="78"/>
      <c r="J82" s="79"/>
      <c r="K82" s="31"/>
      <c r="L82" s="80"/>
      <c r="M82" s="47"/>
    </row>
    <row r="83" spans="1:13" x14ac:dyDescent="0.25">
      <c r="A83" s="62"/>
      <c r="B83" s="49" t="s">
        <v>97</v>
      </c>
      <c r="C83" s="26"/>
      <c r="D83" s="81"/>
      <c r="E83" s="27"/>
      <c r="F83" s="52"/>
      <c r="G83" s="77"/>
      <c r="H83" s="77"/>
      <c r="I83" s="78"/>
      <c r="J83" s="79"/>
      <c r="K83" s="31"/>
      <c r="L83" s="80"/>
      <c r="M83" s="47"/>
    </row>
    <row r="84" spans="1:13" x14ac:dyDescent="0.25">
      <c r="A84" s="84" t="s">
        <v>98</v>
      </c>
      <c r="B84" s="49" t="s">
        <v>26</v>
      </c>
      <c r="C84" s="26"/>
      <c r="D84" s="81"/>
      <c r="E84" s="27"/>
      <c r="F84" s="52"/>
      <c r="G84" s="77"/>
      <c r="H84" s="77"/>
      <c r="I84" s="78"/>
      <c r="J84" s="79"/>
      <c r="K84" s="31"/>
      <c r="L84" s="80"/>
      <c r="M84" s="47"/>
    </row>
    <row r="85" spans="1:13" x14ac:dyDescent="0.25">
      <c r="A85" s="62">
        <v>1.01</v>
      </c>
      <c r="B85" s="67" t="s">
        <v>99</v>
      </c>
      <c r="C85" s="26" t="s">
        <v>33</v>
      </c>
      <c r="D85" s="81">
        <v>750</v>
      </c>
      <c r="E85" s="27">
        <v>50</v>
      </c>
      <c r="F85" s="27">
        <f t="shared" si="12"/>
        <v>37500</v>
      </c>
      <c r="G85" s="87">
        <v>750</v>
      </c>
      <c r="H85" s="87"/>
      <c r="I85" s="59">
        <f>G85+H85</f>
        <v>750</v>
      </c>
      <c r="J85" s="60">
        <f>G85/I85</f>
        <v>1</v>
      </c>
      <c r="K85" s="88">
        <f>G85*E85</f>
        <v>37500</v>
      </c>
      <c r="L85" s="61">
        <f>H85*E85</f>
        <v>0</v>
      </c>
      <c r="M85" s="42">
        <f>K85+L85</f>
        <v>37500</v>
      </c>
    </row>
    <row r="86" spans="1:13" x14ac:dyDescent="0.25">
      <c r="A86" s="62">
        <v>1.02</v>
      </c>
      <c r="B86" s="67" t="s">
        <v>100</v>
      </c>
      <c r="C86" s="26" t="s">
        <v>79</v>
      </c>
      <c r="D86" s="81">
        <v>1</v>
      </c>
      <c r="E86" s="27">
        <v>8500</v>
      </c>
      <c r="F86" s="27">
        <f t="shared" si="12"/>
        <v>8500</v>
      </c>
      <c r="G86" s="87"/>
      <c r="H86" s="77"/>
      <c r="I86" s="78"/>
      <c r="J86" s="79"/>
      <c r="K86" s="88"/>
      <c r="L86" s="61"/>
      <c r="M86" s="42"/>
    </row>
    <row r="87" spans="1:13" x14ac:dyDescent="0.25">
      <c r="A87" s="62"/>
      <c r="B87" s="24" t="s">
        <v>29</v>
      </c>
      <c r="C87" s="26"/>
      <c r="D87" s="81"/>
      <c r="E87" s="27"/>
      <c r="F87" s="52">
        <f>SUM(F85:F86)</f>
        <v>46000</v>
      </c>
      <c r="G87" s="87"/>
      <c r="H87" s="77"/>
      <c r="I87" s="78"/>
      <c r="J87" s="79"/>
      <c r="K87" s="89">
        <f>SUM(K85:K86)</f>
        <v>37500</v>
      </c>
      <c r="L87" s="80">
        <f>SUM(L85:L86)</f>
        <v>0</v>
      </c>
      <c r="M87" s="47">
        <f>K87+L87</f>
        <v>37500</v>
      </c>
    </row>
    <row r="88" spans="1:13" x14ac:dyDescent="0.25">
      <c r="A88" s="84">
        <v>2</v>
      </c>
      <c r="B88" s="49" t="s">
        <v>101</v>
      </c>
      <c r="C88" s="26"/>
      <c r="D88" s="81"/>
      <c r="E88" s="27"/>
      <c r="F88" s="52"/>
      <c r="G88" s="87"/>
      <c r="H88" s="77"/>
      <c r="I88" s="78"/>
      <c r="J88" s="79"/>
      <c r="K88" s="88"/>
      <c r="L88" s="61"/>
      <c r="M88" s="42"/>
    </row>
    <row r="89" spans="1:13" ht="24" x14ac:dyDescent="0.25">
      <c r="A89" s="62">
        <f>A88+0.01</f>
        <v>2.0099999999999998</v>
      </c>
      <c r="B89" s="75" t="s">
        <v>102</v>
      </c>
      <c r="C89" s="26" t="s">
        <v>38</v>
      </c>
      <c r="D89" s="82">
        <v>495</v>
      </c>
      <c r="E89" s="57">
        <v>1850</v>
      </c>
      <c r="F89" s="27">
        <f t="shared" si="12"/>
        <v>915750</v>
      </c>
      <c r="G89" s="87">
        <v>495</v>
      </c>
      <c r="H89" s="87"/>
      <c r="I89" s="59">
        <f>G89+H89</f>
        <v>495</v>
      </c>
      <c r="J89" s="60">
        <f>G89/I89</f>
        <v>1</v>
      </c>
      <c r="K89" s="88">
        <f>G89*E89</f>
        <v>915750</v>
      </c>
      <c r="L89" s="61">
        <f>H89*E89</f>
        <v>0</v>
      </c>
      <c r="M89" s="42">
        <f>K89+L89</f>
        <v>915750</v>
      </c>
    </row>
    <row r="90" spans="1:13" x14ac:dyDescent="0.25">
      <c r="A90" s="62">
        <f t="shared" ref="A90:A92" si="43">A89+0.01</f>
        <v>2.0199999999999996</v>
      </c>
      <c r="B90" s="67" t="s">
        <v>103</v>
      </c>
      <c r="C90" s="26" t="s">
        <v>38</v>
      </c>
      <c r="D90" s="82">
        <v>45</v>
      </c>
      <c r="E90" s="57">
        <v>2200</v>
      </c>
      <c r="F90" s="27">
        <f t="shared" si="12"/>
        <v>99000</v>
      </c>
      <c r="G90" s="87">
        <v>45</v>
      </c>
      <c r="H90" s="87"/>
      <c r="I90" s="59">
        <f t="shared" ref="I90:I95" si="44">G90+H90</f>
        <v>45</v>
      </c>
      <c r="J90" s="60">
        <f t="shared" ref="J90:J95" si="45">G90/I90</f>
        <v>1</v>
      </c>
      <c r="K90" s="88">
        <f t="shared" ref="K90:K92" si="46">G90*E90</f>
        <v>99000</v>
      </c>
      <c r="L90" s="61">
        <f t="shared" ref="L90:L92" si="47">H90*E90</f>
        <v>0</v>
      </c>
      <c r="M90" s="42">
        <f t="shared" ref="M90:M93" si="48">K90+L90</f>
        <v>99000</v>
      </c>
    </row>
    <row r="91" spans="1:13" x14ac:dyDescent="0.25">
      <c r="A91" s="62">
        <f t="shared" si="43"/>
        <v>2.0299999999999994</v>
      </c>
      <c r="B91" s="67" t="s">
        <v>104</v>
      </c>
      <c r="C91" s="26" t="s">
        <v>38</v>
      </c>
      <c r="D91" s="82">
        <v>87.75</v>
      </c>
      <c r="E91" s="63">
        <v>310</v>
      </c>
      <c r="F91" s="27">
        <f t="shared" si="12"/>
        <v>27202.5</v>
      </c>
      <c r="G91" s="87">
        <v>87.75</v>
      </c>
      <c r="H91" s="87"/>
      <c r="I91" s="59">
        <f t="shared" si="44"/>
        <v>87.75</v>
      </c>
      <c r="J91" s="60">
        <f t="shared" si="45"/>
        <v>1</v>
      </c>
      <c r="K91" s="88">
        <f t="shared" si="46"/>
        <v>27202.5</v>
      </c>
      <c r="L91" s="61">
        <f t="shared" si="47"/>
        <v>0</v>
      </c>
      <c r="M91" s="42">
        <f t="shared" si="48"/>
        <v>27202.5</v>
      </c>
    </row>
    <row r="92" spans="1:13" x14ac:dyDescent="0.25">
      <c r="A92" s="62">
        <f t="shared" si="43"/>
        <v>2.0399999999999991</v>
      </c>
      <c r="B92" s="67" t="s">
        <v>105</v>
      </c>
      <c r="C92" s="26" t="s">
        <v>38</v>
      </c>
      <c r="D92" s="82">
        <v>427.5</v>
      </c>
      <c r="E92" s="63">
        <v>580</v>
      </c>
      <c r="F92" s="27">
        <f t="shared" si="12"/>
        <v>247950</v>
      </c>
      <c r="G92" s="87">
        <v>427.5</v>
      </c>
      <c r="H92" s="87"/>
      <c r="I92" s="59">
        <f t="shared" si="44"/>
        <v>427.5</v>
      </c>
      <c r="J92" s="60">
        <f t="shared" si="45"/>
        <v>1</v>
      </c>
      <c r="K92" s="88">
        <f t="shared" si="46"/>
        <v>247950</v>
      </c>
      <c r="L92" s="61">
        <f t="shared" si="47"/>
        <v>0</v>
      </c>
      <c r="M92" s="42">
        <f t="shared" si="48"/>
        <v>247950</v>
      </c>
    </row>
    <row r="93" spans="1:13" x14ac:dyDescent="0.25">
      <c r="A93" s="62"/>
      <c r="B93" s="24" t="s">
        <v>29</v>
      </c>
      <c r="C93" s="26"/>
      <c r="D93" s="81"/>
      <c r="E93" s="27"/>
      <c r="F93" s="52">
        <f>SUM(F89:F92)</f>
        <v>1289902.5</v>
      </c>
      <c r="G93" s="87"/>
      <c r="H93" s="77"/>
      <c r="I93" s="59"/>
      <c r="J93" s="60"/>
      <c r="K93" s="89">
        <f>SUM(K89:K92)</f>
        <v>1289902.5</v>
      </c>
      <c r="L93" s="80">
        <f>SUM(L89:L92)</f>
        <v>0</v>
      </c>
      <c r="M93" s="47">
        <f t="shared" si="48"/>
        <v>1289902.5</v>
      </c>
    </row>
    <row r="94" spans="1:13" x14ac:dyDescent="0.25">
      <c r="A94" s="84">
        <v>3</v>
      </c>
      <c r="B94" s="49" t="s">
        <v>106</v>
      </c>
      <c r="C94" s="26"/>
      <c r="D94" s="81"/>
      <c r="E94" s="27"/>
      <c r="F94" s="52"/>
      <c r="G94" s="87"/>
      <c r="H94" s="77"/>
      <c r="I94" s="59"/>
      <c r="J94" s="60"/>
      <c r="K94" s="88"/>
      <c r="L94" s="80"/>
      <c r="M94" s="47"/>
    </row>
    <row r="95" spans="1:13" ht="36" x14ac:dyDescent="0.25">
      <c r="A95" s="62">
        <f>A94+0.01</f>
        <v>3.01</v>
      </c>
      <c r="B95" s="75" t="s">
        <v>107</v>
      </c>
      <c r="C95" s="26" t="s">
        <v>79</v>
      </c>
      <c r="D95" s="81">
        <v>1</v>
      </c>
      <c r="E95" s="27">
        <v>2000000</v>
      </c>
      <c r="F95" s="27">
        <f t="shared" si="12"/>
        <v>2000000</v>
      </c>
      <c r="G95" s="87">
        <v>0.5</v>
      </c>
      <c r="H95" s="87"/>
      <c r="I95" s="59">
        <f t="shared" si="44"/>
        <v>0.5</v>
      </c>
      <c r="J95" s="60">
        <f t="shared" si="45"/>
        <v>1</v>
      </c>
      <c r="K95" s="88">
        <f t="shared" ref="K95" si="49">G95*E95</f>
        <v>1000000</v>
      </c>
      <c r="L95" s="61">
        <f t="shared" ref="L95" si="50">H95*E95</f>
        <v>0</v>
      </c>
      <c r="M95" s="42">
        <f t="shared" ref="M95:M96" si="51">K95+L95</f>
        <v>1000000</v>
      </c>
    </row>
    <row r="96" spans="1:13" x14ac:dyDescent="0.25">
      <c r="A96" s="62"/>
      <c r="B96" s="24" t="s">
        <v>29</v>
      </c>
      <c r="C96" s="26"/>
      <c r="D96" s="81"/>
      <c r="E96" s="27"/>
      <c r="F96" s="52">
        <f>F95</f>
        <v>2000000</v>
      </c>
      <c r="G96" s="77"/>
      <c r="H96" s="77"/>
      <c r="I96" s="78"/>
      <c r="J96" s="79"/>
      <c r="K96" s="89">
        <f>SUM(K95)</f>
        <v>1000000</v>
      </c>
      <c r="L96" s="80">
        <f>SUM(L95)</f>
        <v>0</v>
      </c>
      <c r="M96" s="47">
        <f t="shared" si="51"/>
        <v>1000000</v>
      </c>
    </row>
    <row r="97" spans="1:13" x14ac:dyDescent="0.25">
      <c r="A97" s="84">
        <v>4</v>
      </c>
      <c r="B97" s="49" t="s">
        <v>108</v>
      </c>
      <c r="C97" s="26"/>
      <c r="D97" s="81"/>
      <c r="E97" s="27"/>
      <c r="F97" s="52"/>
      <c r="G97" s="77"/>
      <c r="H97" s="77"/>
      <c r="I97" s="78"/>
      <c r="J97" s="79"/>
      <c r="K97" s="88"/>
      <c r="L97" s="80"/>
      <c r="M97" s="47"/>
    </row>
    <row r="98" spans="1:13" ht="24" x14ac:dyDescent="0.25">
      <c r="A98" s="62">
        <f>A97+0.01</f>
        <v>4.01</v>
      </c>
      <c r="B98" s="75" t="s">
        <v>109</v>
      </c>
      <c r="C98" s="26" t="s">
        <v>33</v>
      </c>
      <c r="D98" s="81">
        <v>787.5</v>
      </c>
      <c r="E98" s="27">
        <v>1426.22</v>
      </c>
      <c r="F98" s="27">
        <f t="shared" si="12"/>
        <v>1123148.25</v>
      </c>
      <c r="G98" s="87">
        <v>787.5</v>
      </c>
      <c r="H98" s="87"/>
      <c r="I98" s="59">
        <f t="shared" ref="I98" si="52">G98+H98</f>
        <v>787.5</v>
      </c>
      <c r="J98" s="60">
        <f t="shared" ref="J98" si="53">G98/I98</f>
        <v>1</v>
      </c>
      <c r="K98" s="88">
        <f t="shared" ref="K98" si="54">G98*E98</f>
        <v>1123148.25</v>
      </c>
      <c r="L98" s="61">
        <f t="shared" ref="L98" si="55">H98*E98</f>
        <v>0</v>
      </c>
      <c r="M98" s="42">
        <f t="shared" ref="M98:M99" si="56">K98+L98</f>
        <v>1123148.25</v>
      </c>
    </row>
    <row r="99" spans="1:13" x14ac:dyDescent="0.25">
      <c r="A99" s="62"/>
      <c r="B99" s="24" t="s">
        <v>29</v>
      </c>
      <c r="C99" s="26"/>
      <c r="D99" s="81"/>
      <c r="E99" s="27"/>
      <c r="F99" s="52">
        <f>F98</f>
        <v>1123148.25</v>
      </c>
      <c r="G99" s="77"/>
      <c r="H99" s="77"/>
      <c r="I99" s="78"/>
      <c r="J99" s="79"/>
      <c r="K99" s="89">
        <f>SUM(K98)</f>
        <v>1123148.25</v>
      </c>
      <c r="L99" s="80">
        <f>SUM(L98)</f>
        <v>0</v>
      </c>
      <c r="M99" s="47">
        <f t="shared" si="56"/>
        <v>1123148.25</v>
      </c>
    </row>
    <row r="100" spans="1:13" ht="24" x14ac:dyDescent="0.25">
      <c r="A100" s="84">
        <v>5</v>
      </c>
      <c r="B100" s="86" t="s">
        <v>110</v>
      </c>
      <c r="C100" s="26"/>
      <c r="D100" s="81"/>
      <c r="E100" s="27"/>
      <c r="F100" s="52"/>
      <c r="G100" s="77"/>
      <c r="H100" s="77"/>
      <c r="I100" s="78"/>
      <c r="J100" s="79"/>
      <c r="K100" s="31"/>
      <c r="L100" s="80"/>
      <c r="M100" s="47"/>
    </row>
    <row r="101" spans="1:13" ht="60" x14ac:dyDescent="0.25">
      <c r="A101" s="62">
        <f>A100+0.01</f>
        <v>5.01</v>
      </c>
      <c r="B101" s="75" t="s">
        <v>111</v>
      </c>
      <c r="C101" s="26" t="s">
        <v>112</v>
      </c>
      <c r="D101" s="81">
        <v>1</v>
      </c>
      <c r="E101" s="27">
        <v>25039.25</v>
      </c>
      <c r="F101" s="27">
        <f t="shared" si="12"/>
        <v>25039.25</v>
      </c>
      <c r="G101" s="77"/>
      <c r="H101" s="77"/>
      <c r="I101" s="78"/>
      <c r="J101" s="79"/>
      <c r="K101" s="31"/>
      <c r="L101" s="80"/>
      <c r="M101" s="47"/>
    </row>
    <row r="102" spans="1:13" x14ac:dyDescent="0.25">
      <c r="A102" s="62"/>
      <c r="B102" s="24" t="s">
        <v>29</v>
      </c>
      <c r="C102" s="26"/>
      <c r="D102" s="81"/>
      <c r="E102" s="27"/>
      <c r="F102" s="52">
        <f>F101</f>
        <v>25039.25</v>
      </c>
      <c r="G102" s="77"/>
      <c r="H102" s="77"/>
      <c r="I102" s="78"/>
      <c r="J102" s="79"/>
      <c r="K102" s="31"/>
      <c r="L102" s="80"/>
      <c r="M102" s="47"/>
    </row>
    <row r="103" spans="1:13" ht="24" x14ac:dyDescent="0.25">
      <c r="A103" s="84">
        <v>6</v>
      </c>
      <c r="B103" s="86" t="s">
        <v>113</v>
      </c>
      <c r="C103" s="26"/>
      <c r="D103" s="81"/>
      <c r="E103" s="27"/>
      <c r="F103" s="52"/>
      <c r="G103" s="77"/>
      <c r="H103" s="77"/>
      <c r="I103" s="78"/>
      <c r="J103" s="79"/>
      <c r="K103" s="31"/>
      <c r="L103" s="80"/>
      <c r="M103" s="47"/>
    </row>
    <row r="104" spans="1:13" x14ac:dyDescent="0.25">
      <c r="A104" s="62">
        <f>A103+0.01</f>
        <v>6.01</v>
      </c>
      <c r="B104" s="75" t="s">
        <v>114</v>
      </c>
      <c r="C104" s="26" t="s">
        <v>38</v>
      </c>
      <c r="D104" s="82">
        <v>26.66</v>
      </c>
      <c r="E104" s="63">
        <v>350</v>
      </c>
      <c r="F104" s="27">
        <f t="shared" ref="F104:F165" si="57">E104*D104</f>
        <v>9331</v>
      </c>
      <c r="G104" s="77"/>
      <c r="H104" s="87">
        <f>D104</f>
        <v>26.66</v>
      </c>
      <c r="I104" s="59">
        <f>G104+H104</f>
        <v>26.66</v>
      </c>
      <c r="J104" s="60">
        <f>I104/D104</f>
        <v>1</v>
      </c>
      <c r="K104" s="31"/>
      <c r="L104" s="61">
        <f t="shared" ref="L104:L118" si="58">H104*E104</f>
        <v>9331</v>
      </c>
      <c r="M104" s="42">
        <f t="shared" ref="M104:M118" si="59">K104+L104</f>
        <v>9331</v>
      </c>
    </row>
    <row r="105" spans="1:13" x14ac:dyDescent="0.25">
      <c r="A105" s="62">
        <f t="shared" ref="A105:A122" si="60">A104+0.01</f>
        <v>6.02</v>
      </c>
      <c r="B105" s="75" t="s">
        <v>115</v>
      </c>
      <c r="C105" s="26" t="s">
        <v>116</v>
      </c>
      <c r="D105" s="82">
        <v>34.659999999999997</v>
      </c>
      <c r="E105" s="63">
        <v>461.3</v>
      </c>
      <c r="F105" s="27">
        <f t="shared" si="57"/>
        <v>15988.657999999999</v>
      </c>
      <c r="G105" s="77"/>
      <c r="H105" s="87">
        <f t="shared" ref="H105:H118" si="61">D105</f>
        <v>34.659999999999997</v>
      </c>
      <c r="I105" s="59">
        <f t="shared" ref="I105:I118" si="62">G105+H105</f>
        <v>34.659999999999997</v>
      </c>
      <c r="J105" s="60">
        <f t="shared" ref="J105:J118" si="63">I105/D105</f>
        <v>1</v>
      </c>
      <c r="K105" s="31"/>
      <c r="L105" s="61">
        <f t="shared" si="58"/>
        <v>15988.657999999999</v>
      </c>
      <c r="M105" s="42">
        <f t="shared" si="59"/>
        <v>15988.657999999999</v>
      </c>
    </row>
    <row r="106" spans="1:13" x14ac:dyDescent="0.25">
      <c r="A106" s="62">
        <f t="shared" si="60"/>
        <v>6.0299999999999994</v>
      </c>
      <c r="B106" s="75" t="s">
        <v>117</v>
      </c>
      <c r="C106" s="26" t="s">
        <v>38</v>
      </c>
      <c r="D106" s="82">
        <v>10.4</v>
      </c>
      <c r="E106" s="63">
        <v>357.7</v>
      </c>
      <c r="F106" s="27">
        <f t="shared" si="57"/>
        <v>3720.08</v>
      </c>
      <c r="G106" s="77"/>
      <c r="H106" s="87">
        <f t="shared" si="61"/>
        <v>10.4</v>
      </c>
      <c r="I106" s="59">
        <f t="shared" si="62"/>
        <v>10.4</v>
      </c>
      <c r="J106" s="60">
        <f t="shared" si="63"/>
        <v>1</v>
      </c>
      <c r="K106" s="31"/>
      <c r="L106" s="61">
        <f t="shared" si="58"/>
        <v>3720.08</v>
      </c>
      <c r="M106" s="42">
        <f t="shared" si="59"/>
        <v>3720.08</v>
      </c>
    </row>
    <row r="107" spans="1:13" x14ac:dyDescent="0.25">
      <c r="A107" s="62">
        <f t="shared" si="60"/>
        <v>6.0399999999999991</v>
      </c>
      <c r="B107" s="75" t="s">
        <v>118</v>
      </c>
      <c r="C107" s="26" t="s">
        <v>79</v>
      </c>
      <c r="D107" s="82">
        <v>1</v>
      </c>
      <c r="E107" s="57">
        <v>6000</v>
      </c>
      <c r="F107" s="27">
        <f t="shared" si="57"/>
        <v>6000</v>
      </c>
      <c r="G107" s="77"/>
      <c r="H107" s="87">
        <f t="shared" si="61"/>
        <v>1</v>
      </c>
      <c r="I107" s="59">
        <f t="shared" si="62"/>
        <v>1</v>
      </c>
      <c r="J107" s="60">
        <f t="shared" si="63"/>
        <v>1</v>
      </c>
      <c r="K107" s="31"/>
      <c r="L107" s="61">
        <f t="shared" si="58"/>
        <v>6000</v>
      </c>
      <c r="M107" s="42">
        <f t="shared" si="59"/>
        <v>6000</v>
      </c>
    </row>
    <row r="108" spans="1:13" ht="24" x14ac:dyDescent="0.25">
      <c r="A108" s="62">
        <f t="shared" si="60"/>
        <v>6.0499999999999989</v>
      </c>
      <c r="B108" s="75" t="s">
        <v>119</v>
      </c>
      <c r="C108" s="26" t="s">
        <v>38</v>
      </c>
      <c r="D108" s="82">
        <v>11.5</v>
      </c>
      <c r="E108" s="57">
        <v>18420</v>
      </c>
      <c r="F108" s="27">
        <f t="shared" si="57"/>
        <v>211830</v>
      </c>
      <c r="G108" s="77"/>
      <c r="H108" s="87">
        <f t="shared" si="61"/>
        <v>11.5</v>
      </c>
      <c r="I108" s="59">
        <f t="shared" si="62"/>
        <v>11.5</v>
      </c>
      <c r="J108" s="60">
        <f t="shared" si="63"/>
        <v>1</v>
      </c>
      <c r="K108" s="31"/>
      <c r="L108" s="61">
        <f t="shared" si="58"/>
        <v>211830</v>
      </c>
      <c r="M108" s="42">
        <f t="shared" si="59"/>
        <v>211830</v>
      </c>
    </row>
    <row r="109" spans="1:13" ht="24" x14ac:dyDescent="0.25">
      <c r="A109" s="62">
        <f t="shared" si="60"/>
        <v>6.0599999999999987</v>
      </c>
      <c r="B109" s="75" t="s">
        <v>120</v>
      </c>
      <c r="C109" s="26" t="s">
        <v>38</v>
      </c>
      <c r="D109" s="82">
        <v>21.81</v>
      </c>
      <c r="E109" s="57">
        <v>21180</v>
      </c>
      <c r="F109" s="27">
        <f t="shared" si="57"/>
        <v>461935.8</v>
      </c>
      <c r="G109" s="77"/>
      <c r="H109" s="87">
        <f t="shared" si="61"/>
        <v>21.81</v>
      </c>
      <c r="I109" s="59">
        <f t="shared" si="62"/>
        <v>21.81</v>
      </c>
      <c r="J109" s="60">
        <f t="shared" si="63"/>
        <v>1</v>
      </c>
      <c r="K109" s="31"/>
      <c r="L109" s="61">
        <f t="shared" si="58"/>
        <v>461935.8</v>
      </c>
      <c r="M109" s="42">
        <f t="shared" si="59"/>
        <v>461935.8</v>
      </c>
    </row>
    <row r="110" spans="1:13" ht="24" x14ac:dyDescent="0.25">
      <c r="A110" s="62">
        <f t="shared" si="60"/>
        <v>6.0699999999999985</v>
      </c>
      <c r="B110" s="75" t="s">
        <v>121</v>
      </c>
      <c r="C110" s="26" t="s">
        <v>38</v>
      </c>
      <c r="D110" s="82">
        <v>40.57</v>
      </c>
      <c r="E110" s="57">
        <v>16773.25</v>
      </c>
      <c r="F110" s="27">
        <f t="shared" si="57"/>
        <v>680490.75250000006</v>
      </c>
      <c r="G110" s="77"/>
      <c r="H110" s="87">
        <f t="shared" si="61"/>
        <v>40.57</v>
      </c>
      <c r="I110" s="59">
        <f t="shared" si="62"/>
        <v>40.57</v>
      </c>
      <c r="J110" s="60">
        <f t="shared" si="63"/>
        <v>1</v>
      </c>
      <c r="K110" s="31"/>
      <c r="L110" s="61">
        <f t="shared" si="58"/>
        <v>680490.75250000006</v>
      </c>
      <c r="M110" s="42">
        <f t="shared" si="59"/>
        <v>680490.75250000006</v>
      </c>
    </row>
    <row r="111" spans="1:13" x14ac:dyDescent="0.25">
      <c r="A111" s="62">
        <f t="shared" si="60"/>
        <v>6.0799999999999983</v>
      </c>
      <c r="B111" s="75" t="s">
        <v>122</v>
      </c>
      <c r="C111" s="26" t="s">
        <v>35</v>
      </c>
      <c r="D111" s="82">
        <v>102.53</v>
      </c>
      <c r="E111" s="63">
        <v>73.989999999999995</v>
      </c>
      <c r="F111" s="27">
        <f t="shared" si="57"/>
        <v>7586.1947</v>
      </c>
      <c r="G111" s="77"/>
      <c r="H111" s="87">
        <f t="shared" si="61"/>
        <v>102.53</v>
      </c>
      <c r="I111" s="59">
        <f t="shared" si="62"/>
        <v>102.53</v>
      </c>
      <c r="J111" s="60">
        <f t="shared" si="63"/>
        <v>1</v>
      </c>
      <c r="K111" s="31"/>
      <c r="L111" s="61">
        <f t="shared" si="58"/>
        <v>7586.1947</v>
      </c>
      <c r="M111" s="42">
        <f t="shared" si="59"/>
        <v>7586.1947</v>
      </c>
    </row>
    <row r="112" spans="1:13" x14ac:dyDescent="0.25">
      <c r="A112" s="62">
        <f t="shared" si="60"/>
        <v>6.0899999999999981</v>
      </c>
      <c r="B112" s="75" t="s">
        <v>123</v>
      </c>
      <c r="C112" s="26" t="s">
        <v>35</v>
      </c>
      <c r="D112" s="82">
        <v>135.83000000000001</v>
      </c>
      <c r="E112" s="63">
        <v>388.4</v>
      </c>
      <c r="F112" s="27">
        <f t="shared" si="57"/>
        <v>52756.372000000003</v>
      </c>
      <c r="G112" s="77"/>
      <c r="H112" s="87">
        <f t="shared" si="61"/>
        <v>135.83000000000001</v>
      </c>
      <c r="I112" s="59">
        <f t="shared" si="62"/>
        <v>135.83000000000001</v>
      </c>
      <c r="J112" s="60">
        <f t="shared" si="63"/>
        <v>1</v>
      </c>
      <c r="K112" s="31"/>
      <c r="L112" s="61">
        <f t="shared" si="58"/>
        <v>52756.372000000003</v>
      </c>
      <c r="M112" s="42">
        <f t="shared" si="59"/>
        <v>52756.372000000003</v>
      </c>
    </row>
    <row r="113" spans="1:13" x14ac:dyDescent="0.25">
      <c r="A113" s="62">
        <f t="shared" si="60"/>
        <v>6.0999999999999979</v>
      </c>
      <c r="B113" s="75" t="s">
        <v>124</v>
      </c>
      <c r="C113" s="26" t="s">
        <v>116</v>
      </c>
      <c r="D113" s="82">
        <v>64</v>
      </c>
      <c r="E113" s="63">
        <v>900</v>
      </c>
      <c r="F113" s="27">
        <f t="shared" si="57"/>
        <v>57600</v>
      </c>
      <c r="G113" s="77"/>
      <c r="H113" s="87">
        <f t="shared" si="61"/>
        <v>64</v>
      </c>
      <c r="I113" s="59">
        <f t="shared" si="62"/>
        <v>64</v>
      </c>
      <c r="J113" s="60">
        <f t="shared" si="63"/>
        <v>1</v>
      </c>
      <c r="K113" s="31"/>
      <c r="L113" s="61">
        <f t="shared" si="58"/>
        <v>57600</v>
      </c>
      <c r="M113" s="42">
        <f t="shared" si="59"/>
        <v>57600</v>
      </c>
    </row>
    <row r="114" spans="1:13" x14ac:dyDescent="0.25">
      <c r="A114" s="62">
        <f t="shared" si="60"/>
        <v>6.1099999999999977</v>
      </c>
      <c r="B114" s="75" t="s">
        <v>125</v>
      </c>
      <c r="C114" s="26" t="s">
        <v>35</v>
      </c>
      <c r="D114" s="82">
        <v>135.83000000000001</v>
      </c>
      <c r="E114" s="63">
        <v>240.22</v>
      </c>
      <c r="F114" s="27">
        <f t="shared" si="57"/>
        <v>32629.082600000002</v>
      </c>
      <c r="G114" s="77"/>
      <c r="H114" s="87">
        <f t="shared" si="61"/>
        <v>135.83000000000001</v>
      </c>
      <c r="I114" s="59">
        <f t="shared" si="62"/>
        <v>135.83000000000001</v>
      </c>
      <c r="J114" s="60">
        <f t="shared" si="63"/>
        <v>1</v>
      </c>
      <c r="K114" s="31"/>
      <c r="L114" s="61">
        <f t="shared" si="58"/>
        <v>32629.082600000002</v>
      </c>
      <c r="M114" s="42">
        <f t="shared" si="59"/>
        <v>32629.082600000002</v>
      </c>
    </row>
    <row r="115" spans="1:13" x14ac:dyDescent="0.25">
      <c r="A115" s="62">
        <f t="shared" si="60"/>
        <v>6.1199999999999974</v>
      </c>
      <c r="B115" s="75" t="s">
        <v>126</v>
      </c>
      <c r="C115" s="26" t="s">
        <v>112</v>
      </c>
      <c r="D115" s="82">
        <v>2</v>
      </c>
      <c r="E115" s="57">
        <v>20884.5</v>
      </c>
      <c r="F115" s="27">
        <f t="shared" si="57"/>
        <v>41769</v>
      </c>
      <c r="G115" s="77"/>
      <c r="H115" s="87">
        <f t="shared" si="61"/>
        <v>2</v>
      </c>
      <c r="I115" s="59">
        <f t="shared" si="62"/>
        <v>2</v>
      </c>
      <c r="J115" s="60">
        <f t="shared" si="63"/>
        <v>1</v>
      </c>
      <c r="K115" s="31"/>
      <c r="L115" s="61">
        <f t="shared" si="58"/>
        <v>41769</v>
      </c>
      <c r="M115" s="42">
        <f t="shared" si="59"/>
        <v>41769</v>
      </c>
    </row>
    <row r="116" spans="1:13" x14ac:dyDescent="0.25">
      <c r="A116" s="62">
        <f t="shared" si="60"/>
        <v>6.1299999999999972</v>
      </c>
      <c r="B116" s="75" t="s">
        <v>127</v>
      </c>
      <c r="C116" s="26" t="s">
        <v>112</v>
      </c>
      <c r="D116" s="82">
        <v>2</v>
      </c>
      <c r="E116" s="57">
        <v>10000</v>
      </c>
      <c r="F116" s="27">
        <f t="shared" si="57"/>
        <v>20000</v>
      </c>
      <c r="G116" s="77"/>
      <c r="H116" s="87">
        <f t="shared" si="61"/>
        <v>2</v>
      </c>
      <c r="I116" s="59">
        <f t="shared" si="62"/>
        <v>2</v>
      </c>
      <c r="J116" s="60">
        <f t="shared" si="63"/>
        <v>1</v>
      </c>
      <c r="K116" s="31"/>
      <c r="L116" s="61">
        <f t="shared" si="58"/>
        <v>20000</v>
      </c>
      <c r="M116" s="42">
        <f t="shared" si="59"/>
        <v>20000</v>
      </c>
    </row>
    <row r="117" spans="1:13" x14ac:dyDescent="0.25">
      <c r="A117" s="62">
        <f t="shared" si="60"/>
        <v>6.139999999999997</v>
      </c>
      <c r="B117" s="75" t="s">
        <v>128</v>
      </c>
      <c r="C117" s="26" t="s">
        <v>35</v>
      </c>
      <c r="D117" s="82">
        <v>50.77</v>
      </c>
      <c r="E117" s="63">
        <v>228</v>
      </c>
      <c r="F117" s="27">
        <f t="shared" si="57"/>
        <v>11575.560000000001</v>
      </c>
      <c r="G117" s="77"/>
      <c r="H117" s="87">
        <f t="shared" si="61"/>
        <v>50.77</v>
      </c>
      <c r="I117" s="59">
        <f t="shared" si="62"/>
        <v>50.77</v>
      </c>
      <c r="J117" s="60">
        <f t="shared" si="63"/>
        <v>1</v>
      </c>
      <c r="K117" s="31"/>
      <c r="L117" s="61">
        <f t="shared" si="58"/>
        <v>11575.560000000001</v>
      </c>
      <c r="M117" s="42">
        <f t="shared" si="59"/>
        <v>11575.560000000001</v>
      </c>
    </row>
    <row r="118" spans="1:13" x14ac:dyDescent="0.25">
      <c r="A118" s="62">
        <f t="shared" si="60"/>
        <v>6.1499999999999968</v>
      </c>
      <c r="B118" s="75" t="s">
        <v>129</v>
      </c>
      <c r="C118" s="26" t="s">
        <v>116</v>
      </c>
      <c r="D118" s="82">
        <v>2</v>
      </c>
      <c r="E118" s="57">
        <v>2785</v>
      </c>
      <c r="F118" s="27">
        <f t="shared" si="57"/>
        <v>5570</v>
      </c>
      <c r="G118" s="77"/>
      <c r="H118" s="87">
        <f t="shared" si="61"/>
        <v>2</v>
      </c>
      <c r="I118" s="59">
        <f t="shared" si="62"/>
        <v>2</v>
      </c>
      <c r="J118" s="60">
        <f t="shared" si="63"/>
        <v>1</v>
      </c>
      <c r="K118" s="31"/>
      <c r="L118" s="61">
        <f t="shared" si="58"/>
        <v>5570</v>
      </c>
      <c r="M118" s="42">
        <f t="shared" si="59"/>
        <v>5570</v>
      </c>
    </row>
    <row r="119" spans="1:13" ht="60" x14ac:dyDescent="0.25">
      <c r="A119" s="62">
        <f t="shared" si="60"/>
        <v>6.1599999999999966</v>
      </c>
      <c r="B119" s="75" t="s">
        <v>111</v>
      </c>
      <c r="C119" s="26" t="s">
        <v>112</v>
      </c>
      <c r="D119" s="82">
        <v>6</v>
      </c>
      <c r="E119" s="57">
        <v>25039.25</v>
      </c>
      <c r="F119" s="27">
        <f t="shared" si="57"/>
        <v>150235.5</v>
      </c>
      <c r="G119" s="77"/>
      <c r="H119" s="77"/>
      <c r="I119" s="78"/>
      <c r="J119" s="79"/>
      <c r="K119" s="31"/>
      <c r="L119" s="80"/>
      <c r="M119" s="47"/>
    </row>
    <row r="120" spans="1:13" x14ac:dyDescent="0.25">
      <c r="A120" s="62">
        <f t="shared" si="60"/>
        <v>6.1699999999999964</v>
      </c>
      <c r="B120" s="75" t="s">
        <v>130</v>
      </c>
      <c r="C120" s="26" t="s">
        <v>79</v>
      </c>
      <c r="D120" s="82">
        <v>1</v>
      </c>
      <c r="E120" s="57">
        <v>3000</v>
      </c>
      <c r="F120" s="27">
        <f t="shared" si="57"/>
        <v>3000</v>
      </c>
      <c r="G120" s="77"/>
      <c r="H120" s="77"/>
      <c r="I120" s="78"/>
      <c r="J120" s="79"/>
      <c r="K120" s="31"/>
      <c r="L120" s="80"/>
      <c r="M120" s="47"/>
    </row>
    <row r="121" spans="1:13" x14ac:dyDescent="0.25">
      <c r="A121" s="62">
        <f t="shared" si="60"/>
        <v>6.1799999999999962</v>
      </c>
      <c r="B121" s="75" t="s">
        <v>131</v>
      </c>
      <c r="C121" s="26" t="s">
        <v>112</v>
      </c>
      <c r="D121" s="82">
        <v>1</v>
      </c>
      <c r="E121" s="57">
        <v>3500</v>
      </c>
      <c r="F121" s="27">
        <f t="shared" si="57"/>
        <v>3500</v>
      </c>
      <c r="G121" s="77"/>
      <c r="H121" s="77"/>
      <c r="I121" s="78"/>
      <c r="J121" s="79"/>
      <c r="K121" s="31"/>
      <c r="L121" s="80"/>
      <c r="M121" s="47"/>
    </row>
    <row r="122" spans="1:13" x14ac:dyDescent="0.25">
      <c r="A122" s="62">
        <f t="shared" si="60"/>
        <v>6.1899999999999959</v>
      </c>
      <c r="B122" s="75" t="s">
        <v>132</v>
      </c>
      <c r="C122" s="26" t="s">
        <v>112</v>
      </c>
      <c r="D122" s="82">
        <v>3</v>
      </c>
      <c r="E122" s="57">
        <v>1950</v>
      </c>
      <c r="F122" s="27">
        <f t="shared" si="57"/>
        <v>5850</v>
      </c>
      <c r="G122" s="77"/>
      <c r="H122" s="77"/>
      <c r="I122" s="78"/>
      <c r="J122" s="79"/>
      <c r="K122" s="31"/>
      <c r="L122" s="80"/>
      <c r="M122" s="47"/>
    </row>
    <row r="123" spans="1:13" x14ac:dyDescent="0.25">
      <c r="A123" s="62">
        <f>A122+0.01</f>
        <v>6.1999999999999957</v>
      </c>
      <c r="B123" s="24" t="s">
        <v>29</v>
      </c>
      <c r="C123" s="26"/>
      <c r="D123" s="81"/>
      <c r="E123" s="27"/>
      <c r="F123" s="52">
        <f>SUM(F104:F122)</f>
        <v>1781367.9998000003</v>
      </c>
      <c r="G123" s="77"/>
      <c r="H123" s="77"/>
      <c r="I123" s="78"/>
      <c r="J123" s="79"/>
      <c r="K123" s="31"/>
      <c r="L123" s="80">
        <f>SUM(L104:L122)</f>
        <v>1618782.4998000003</v>
      </c>
      <c r="M123" s="47">
        <f t="shared" ref="M123" si="64">K123+L123</f>
        <v>1618782.4998000003</v>
      </c>
    </row>
    <row r="124" spans="1:13" x14ac:dyDescent="0.25">
      <c r="A124" s="84">
        <v>7</v>
      </c>
      <c r="B124" s="86" t="s">
        <v>133</v>
      </c>
      <c r="C124" s="26"/>
      <c r="D124" s="81"/>
      <c r="E124" s="27"/>
      <c r="F124" s="52"/>
      <c r="G124" s="77"/>
      <c r="H124" s="77"/>
      <c r="I124" s="78"/>
      <c r="J124" s="79"/>
      <c r="K124" s="31"/>
      <c r="L124" s="80"/>
      <c r="M124" s="47"/>
    </row>
    <row r="125" spans="1:13" x14ac:dyDescent="0.25">
      <c r="A125" s="62">
        <f>A124+0.01</f>
        <v>7.01</v>
      </c>
      <c r="B125" s="75" t="s">
        <v>134</v>
      </c>
      <c r="C125" s="26" t="s">
        <v>33</v>
      </c>
      <c r="D125" s="90">
        <v>1500</v>
      </c>
      <c r="E125" s="63">
        <v>80</v>
      </c>
      <c r="F125" s="27">
        <f t="shared" si="57"/>
        <v>120000</v>
      </c>
      <c r="G125" s="77"/>
      <c r="H125" s="87">
        <v>1100</v>
      </c>
      <c r="I125" s="59">
        <f t="shared" ref="I125" si="65">G125+H125</f>
        <v>1100</v>
      </c>
      <c r="J125" s="60">
        <f t="shared" ref="J125" si="66">I125/D125</f>
        <v>0.73333333333333328</v>
      </c>
      <c r="K125" s="31"/>
      <c r="L125" s="61">
        <f t="shared" ref="L125" si="67">H125*E125</f>
        <v>88000</v>
      </c>
      <c r="M125" s="42">
        <f t="shared" ref="M125" si="68">K125+L125</f>
        <v>88000</v>
      </c>
    </row>
    <row r="126" spans="1:13" x14ac:dyDescent="0.25">
      <c r="A126" s="62">
        <f t="shared" ref="A126:A128" si="69">A125+0.01</f>
        <v>7.02</v>
      </c>
      <c r="B126" s="75" t="s">
        <v>135</v>
      </c>
      <c r="C126" s="26" t="s">
        <v>35</v>
      </c>
      <c r="D126" s="82">
        <v>675</v>
      </c>
      <c r="E126" s="63">
        <v>45</v>
      </c>
      <c r="F126" s="27">
        <f t="shared" si="57"/>
        <v>30375</v>
      </c>
      <c r="G126" s="77"/>
      <c r="H126" s="77"/>
      <c r="I126" s="78"/>
      <c r="J126" s="79"/>
      <c r="K126" s="31"/>
      <c r="L126" s="80"/>
      <c r="M126" s="47"/>
    </row>
    <row r="127" spans="1:13" x14ac:dyDescent="0.25">
      <c r="A127" s="62">
        <f t="shared" si="69"/>
        <v>7.0299999999999994</v>
      </c>
      <c r="B127" s="75" t="s">
        <v>74</v>
      </c>
      <c r="C127" s="26" t="s">
        <v>38</v>
      </c>
      <c r="D127" s="82">
        <v>50.63</v>
      </c>
      <c r="E127" s="63">
        <v>280</v>
      </c>
      <c r="F127" s="27">
        <f t="shared" si="57"/>
        <v>14176.400000000001</v>
      </c>
      <c r="G127" s="77"/>
      <c r="H127" s="77"/>
      <c r="I127" s="78"/>
      <c r="J127" s="79"/>
      <c r="K127" s="31"/>
      <c r="L127" s="80"/>
      <c r="M127" s="47"/>
    </row>
    <row r="128" spans="1:13" x14ac:dyDescent="0.25">
      <c r="A128" s="62">
        <f t="shared" si="69"/>
        <v>7.0399999999999991</v>
      </c>
      <c r="B128" s="75" t="s">
        <v>136</v>
      </c>
      <c r="C128" s="26" t="s">
        <v>38</v>
      </c>
      <c r="D128" s="82">
        <v>50.63</v>
      </c>
      <c r="E128" s="57">
        <v>8500</v>
      </c>
      <c r="F128" s="27">
        <f t="shared" si="57"/>
        <v>430355</v>
      </c>
      <c r="G128" s="77"/>
      <c r="H128" s="77"/>
      <c r="I128" s="78"/>
      <c r="J128" s="79"/>
      <c r="K128" s="31"/>
      <c r="L128" s="80"/>
      <c r="M128" s="47"/>
    </row>
    <row r="129" spans="1:13" x14ac:dyDescent="0.25">
      <c r="A129" s="62"/>
      <c r="B129" s="24" t="s">
        <v>29</v>
      </c>
      <c r="C129" s="26"/>
      <c r="D129" s="81"/>
      <c r="E129" s="27"/>
      <c r="F129" s="52">
        <f>SUM(F125:F128)</f>
        <v>594906.4</v>
      </c>
      <c r="G129" s="77"/>
      <c r="H129" s="77"/>
      <c r="I129" s="78"/>
      <c r="J129" s="79"/>
      <c r="K129" s="31"/>
      <c r="L129" s="80">
        <f>SUM(L125:L128)</f>
        <v>88000</v>
      </c>
      <c r="M129" s="47">
        <f t="shared" ref="M129" si="70">K129+L129</f>
        <v>88000</v>
      </c>
    </row>
    <row r="130" spans="1:13" x14ac:dyDescent="0.25">
      <c r="A130" s="62"/>
      <c r="B130" s="49" t="s">
        <v>96</v>
      </c>
      <c r="C130" s="26"/>
      <c r="D130" s="81"/>
      <c r="E130" s="27"/>
      <c r="F130" s="52">
        <f>F129++F123+F102+F99+F96+F93+F87</f>
        <v>6860364.3998000007</v>
      </c>
      <c r="G130" s="77"/>
      <c r="H130" s="77"/>
      <c r="I130" s="78"/>
      <c r="J130" s="79"/>
      <c r="K130" s="31"/>
      <c r="L130" s="80"/>
      <c r="M130" s="47"/>
    </row>
    <row r="131" spans="1:13" x14ac:dyDescent="0.25">
      <c r="A131" s="62"/>
      <c r="B131" s="86" t="s">
        <v>137</v>
      </c>
      <c r="C131" s="50"/>
      <c r="D131" s="81"/>
      <c r="E131" s="27"/>
      <c r="F131" s="52"/>
      <c r="G131" s="77"/>
      <c r="H131" s="77"/>
      <c r="I131" s="78"/>
      <c r="J131" s="79"/>
      <c r="K131" s="31"/>
      <c r="L131" s="80"/>
      <c r="M131" s="47"/>
    </row>
    <row r="132" spans="1:13" x14ac:dyDescent="0.25">
      <c r="A132" s="84">
        <v>1</v>
      </c>
      <c r="B132" s="86" t="s">
        <v>138</v>
      </c>
      <c r="C132" s="26"/>
      <c r="D132" s="81"/>
      <c r="E132" s="27"/>
      <c r="F132" s="52"/>
      <c r="G132" s="77"/>
      <c r="H132" s="77"/>
      <c r="I132" s="78"/>
      <c r="J132" s="79"/>
      <c r="K132" s="31"/>
      <c r="L132" s="80"/>
      <c r="M132" s="47"/>
    </row>
    <row r="133" spans="1:13" x14ac:dyDescent="0.25">
      <c r="A133" s="62">
        <f>A132+0.01</f>
        <v>1.01</v>
      </c>
      <c r="B133" s="75" t="s">
        <v>139</v>
      </c>
      <c r="C133" s="26" t="s">
        <v>33</v>
      </c>
      <c r="D133" s="81">
        <v>190</v>
      </c>
      <c r="E133" s="27">
        <v>50</v>
      </c>
      <c r="F133" s="27">
        <f t="shared" si="57"/>
        <v>9500</v>
      </c>
      <c r="G133" s="77"/>
      <c r="H133" s="87">
        <f>D133</f>
        <v>190</v>
      </c>
      <c r="I133" s="59">
        <f t="shared" ref="I133:I134" si="71">G133+H133</f>
        <v>190</v>
      </c>
      <c r="J133" s="60">
        <f t="shared" ref="J133:J134" si="72">I133/D133</f>
        <v>1</v>
      </c>
      <c r="K133" s="31"/>
      <c r="L133" s="61">
        <f t="shared" ref="L133:L134" si="73">H133*E133</f>
        <v>9500</v>
      </c>
      <c r="M133" s="42">
        <f t="shared" ref="M133:M135" si="74">K133+L133</f>
        <v>9500</v>
      </c>
    </row>
    <row r="134" spans="1:13" x14ac:dyDescent="0.25">
      <c r="A134" s="62">
        <f>A133+0.01</f>
        <v>1.02</v>
      </c>
      <c r="B134" s="75" t="s">
        <v>140</v>
      </c>
      <c r="C134" s="26" t="s">
        <v>79</v>
      </c>
      <c r="D134" s="81">
        <v>1</v>
      </c>
      <c r="E134" s="27">
        <v>6000</v>
      </c>
      <c r="F134" s="27">
        <f t="shared" si="57"/>
        <v>6000</v>
      </c>
      <c r="G134" s="77"/>
      <c r="H134" s="87">
        <f>D134</f>
        <v>1</v>
      </c>
      <c r="I134" s="59">
        <f t="shared" si="71"/>
        <v>1</v>
      </c>
      <c r="J134" s="60">
        <f t="shared" si="72"/>
        <v>1</v>
      </c>
      <c r="K134" s="31"/>
      <c r="L134" s="61">
        <f t="shared" si="73"/>
        <v>6000</v>
      </c>
      <c r="M134" s="42">
        <f t="shared" si="74"/>
        <v>6000</v>
      </c>
    </row>
    <row r="135" spans="1:13" x14ac:dyDescent="0.25">
      <c r="A135" s="62"/>
      <c r="B135" s="24" t="s">
        <v>29</v>
      </c>
      <c r="C135" s="26"/>
      <c r="D135" s="81"/>
      <c r="E135" s="27"/>
      <c r="F135" s="52">
        <f>SUM(F133:F134)</f>
        <v>15500</v>
      </c>
      <c r="G135" s="77"/>
      <c r="H135" s="77"/>
      <c r="I135" s="78"/>
      <c r="J135" s="79"/>
      <c r="K135" s="31"/>
      <c r="L135" s="61">
        <f>SUM(L133:L134)</f>
        <v>15500</v>
      </c>
      <c r="M135" s="42">
        <f t="shared" si="74"/>
        <v>15500</v>
      </c>
    </row>
    <row r="136" spans="1:13" x14ac:dyDescent="0.25">
      <c r="A136" s="84">
        <v>2</v>
      </c>
      <c r="B136" s="49" t="s">
        <v>101</v>
      </c>
      <c r="C136" s="26"/>
      <c r="D136" s="81"/>
      <c r="E136" s="27"/>
      <c r="F136" s="27"/>
      <c r="G136" s="77"/>
      <c r="H136" s="77"/>
      <c r="I136" s="78"/>
      <c r="J136" s="79"/>
      <c r="K136" s="31"/>
      <c r="L136" s="80"/>
      <c r="M136" s="47"/>
    </row>
    <row r="137" spans="1:13" x14ac:dyDescent="0.25">
      <c r="A137" s="62">
        <f>A136+0.01</f>
        <v>2.0099999999999998</v>
      </c>
      <c r="B137" s="67" t="s">
        <v>141</v>
      </c>
      <c r="C137" s="26" t="s">
        <v>38</v>
      </c>
      <c r="D137" s="82">
        <v>125.4</v>
      </c>
      <c r="E137" s="63">
        <v>180</v>
      </c>
      <c r="F137" s="27">
        <f t="shared" si="57"/>
        <v>22572</v>
      </c>
      <c r="G137" s="77"/>
      <c r="H137" s="87">
        <f>D137</f>
        <v>125.4</v>
      </c>
      <c r="I137" s="59">
        <f t="shared" ref="I137:I140" si="75">G137+H137</f>
        <v>125.4</v>
      </c>
      <c r="J137" s="60">
        <f t="shared" ref="J137:J140" si="76">I137/D137</f>
        <v>1</v>
      </c>
      <c r="K137" s="31"/>
      <c r="L137" s="61">
        <f t="shared" ref="L137:L143" si="77">H137*E137</f>
        <v>22572</v>
      </c>
      <c r="M137" s="42">
        <f t="shared" ref="M137:M144" si="78">K137+L137</f>
        <v>22572</v>
      </c>
    </row>
    <row r="138" spans="1:13" x14ac:dyDescent="0.25">
      <c r="A138" s="62">
        <f t="shared" ref="A138:A140" si="79">A137+0.01</f>
        <v>2.0199999999999996</v>
      </c>
      <c r="B138" s="67" t="s">
        <v>142</v>
      </c>
      <c r="C138" s="26" t="s">
        <v>38</v>
      </c>
      <c r="D138" s="82">
        <v>11.4</v>
      </c>
      <c r="E138" s="57">
        <v>2200</v>
      </c>
      <c r="F138" s="27">
        <f t="shared" si="57"/>
        <v>25080</v>
      </c>
      <c r="G138" s="77"/>
      <c r="H138" s="87">
        <f t="shared" ref="H138:H140" si="80">D138</f>
        <v>11.4</v>
      </c>
      <c r="I138" s="59">
        <f t="shared" si="75"/>
        <v>11.4</v>
      </c>
      <c r="J138" s="60">
        <f t="shared" si="76"/>
        <v>1</v>
      </c>
      <c r="K138" s="31"/>
      <c r="L138" s="61">
        <f t="shared" si="77"/>
        <v>25080</v>
      </c>
      <c r="M138" s="42">
        <f t="shared" si="78"/>
        <v>25080</v>
      </c>
    </row>
    <row r="139" spans="1:13" x14ac:dyDescent="0.25">
      <c r="A139" s="62">
        <f t="shared" si="79"/>
        <v>2.0299999999999994</v>
      </c>
      <c r="B139" s="75" t="s">
        <v>143</v>
      </c>
      <c r="C139" s="26" t="s">
        <v>38</v>
      </c>
      <c r="D139" s="82">
        <v>108.3</v>
      </c>
      <c r="E139" s="63">
        <v>260</v>
      </c>
      <c r="F139" s="27">
        <f t="shared" si="57"/>
        <v>28158</v>
      </c>
      <c r="G139" s="77"/>
      <c r="H139" s="87">
        <f t="shared" si="80"/>
        <v>108.3</v>
      </c>
      <c r="I139" s="59">
        <f t="shared" si="75"/>
        <v>108.3</v>
      </c>
      <c r="J139" s="60">
        <f t="shared" si="76"/>
        <v>1</v>
      </c>
      <c r="K139" s="31"/>
      <c r="L139" s="61">
        <f t="shared" si="77"/>
        <v>28158</v>
      </c>
      <c r="M139" s="42">
        <f t="shared" si="78"/>
        <v>28158</v>
      </c>
    </row>
    <row r="140" spans="1:13" x14ac:dyDescent="0.25">
      <c r="A140" s="62">
        <f t="shared" si="79"/>
        <v>2.0399999999999991</v>
      </c>
      <c r="B140" s="67" t="s">
        <v>144</v>
      </c>
      <c r="C140" s="26" t="s">
        <v>38</v>
      </c>
      <c r="D140" s="82">
        <v>22.23</v>
      </c>
      <c r="E140" s="63">
        <v>280</v>
      </c>
      <c r="F140" s="27">
        <f t="shared" si="57"/>
        <v>6224.4000000000005</v>
      </c>
      <c r="G140" s="77"/>
      <c r="H140" s="87">
        <f t="shared" si="80"/>
        <v>22.23</v>
      </c>
      <c r="I140" s="59">
        <f t="shared" si="75"/>
        <v>22.23</v>
      </c>
      <c r="J140" s="60">
        <f t="shared" si="76"/>
        <v>1</v>
      </c>
      <c r="K140" s="31"/>
      <c r="L140" s="61">
        <f t="shared" si="77"/>
        <v>6224.4000000000005</v>
      </c>
      <c r="M140" s="42">
        <f t="shared" si="78"/>
        <v>6224.4000000000005</v>
      </c>
    </row>
    <row r="141" spans="1:13" x14ac:dyDescent="0.25">
      <c r="A141" s="62"/>
      <c r="B141" s="24" t="s">
        <v>29</v>
      </c>
      <c r="C141" s="26"/>
      <c r="D141" s="81"/>
      <c r="E141" s="27"/>
      <c r="F141" s="52">
        <f>SUM(F137:F140)</f>
        <v>82034.399999999994</v>
      </c>
      <c r="G141" s="77"/>
      <c r="H141" s="77"/>
      <c r="I141" s="78"/>
      <c r="J141" s="79"/>
      <c r="K141" s="31"/>
      <c r="L141" s="80">
        <f>SUM(L137:L140)</f>
        <v>82034.399999999994</v>
      </c>
      <c r="M141" s="47">
        <f t="shared" si="78"/>
        <v>82034.399999999994</v>
      </c>
    </row>
    <row r="142" spans="1:13" x14ac:dyDescent="0.25">
      <c r="A142" s="84">
        <v>3</v>
      </c>
      <c r="B142" s="49" t="s">
        <v>145</v>
      </c>
      <c r="C142" s="26"/>
      <c r="D142" s="81"/>
      <c r="E142" s="27"/>
      <c r="F142" s="52"/>
      <c r="G142" s="77"/>
      <c r="H142" s="77"/>
      <c r="I142" s="78"/>
      <c r="J142" s="79"/>
      <c r="K142" s="31"/>
      <c r="L142" s="61"/>
      <c r="M142" s="42"/>
    </row>
    <row r="143" spans="1:13" x14ac:dyDescent="0.25">
      <c r="A143" s="62">
        <f>A142+0.01</f>
        <v>3.01</v>
      </c>
      <c r="B143" s="67" t="s">
        <v>146</v>
      </c>
      <c r="C143" s="26" t="s">
        <v>33</v>
      </c>
      <c r="D143" s="81">
        <v>194.75</v>
      </c>
      <c r="E143" s="27">
        <v>948.10018000000002</v>
      </c>
      <c r="F143" s="27">
        <f t="shared" si="57"/>
        <v>184642.51005499999</v>
      </c>
      <c r="G143" s="77"/>
      <c r="H143" s="87">
        <f t="shared" ref="H143" si="81">D143</f>
        <v>194.75</v>
      </c>
      <c r="I143" s="59">
        <f t="shared" ref="I143" si="82">G143+H143</f>
        <v>194.75</v>
      </c>
      <c r="J143" s="60">
        <f t="shared" ref="J143" si="83">I143/D143</f>
        <v>1</v>
      </c>
      <c r="K143" s="31"/>
      <c r="L143" s="61">
        <f t="shared" si="77"/>
        <v>184642.51005499999</v>
      </c>
      <c r="M143" s="42">
        <f t="shared" si="78"/>
        <v>184642.51005499999</v>
      </c>
    </row>
    <row r="144" spans="1:13" x14ac:dyDescent="0.25">
      <c r="A144" s="62"/>
      <c r="B144" s="24" t="s">
        <v>29</v>
      </c>
      <c r="C144" s="26"/>
      <c r="D144" s="81"/>
      <c r="E144" s="27"/>
      <c r="F144" s="52">
        <f>F143</f>
        <v>184642.51005499999</v>
      </c>
      <c r="G144" s="77"/>
      <c r="H144" s="77"/>
      <c r="I144" s="78"/>
      <c r="J144" s="79"/>
      <c r="K144" s="31"/>
      <c r="L144" s="80">
        <f>SUM(L143)</f>
        <v>184642.51005499999</v>
      </c>
      <c r="M144" s="47">
        <f t="shared" si="78"/>
        <v>184642.51005499999</v>
      </c>
    </row>
    <row r="145" spans="1:13" ht="24" x14ac:dyDescent="0.25">
      <c r="A145" s="84">
        <v>4</v>
      </c>
      <c r="B145" s="86" t="s">
        <v>110</v>
      </c>
      <c r="C145" s="26"/>
      <c r="D145" s="81"/>
      <c r="E145" s="27"/>
      <c r="F145" s="52"/>
      <c r="G145" s="77"/>
      <c r="H145" s="77"/>
      <c r="I145" s="78"/>
      <c r="J145" s="79"/>
      <c r="K145" s="31"/>
      <c r="L145" s="80"/>
      <c r="M145" s="47"/>
    </row>
    <row r="146" spans="1:13" ht="48" x14ac:dyDescent="0.25">
      <c r="A146" s="62">
        <f>A145+0.01</f>
        <v>4.01</v>
      </c>
      <c r="B146" s="75" t="s">
        <v>147</v>
      </c>
      <c r="C146" s="26" t="s">
        <v>112</v>
      </c>
      <c r="D146" s="82">
        <v>1</v>
      </c>
      <c r="E146" s="57">
        <v>11500</v>
      </c>
      <c r="F146" s="27">
        <f t="shared" si="57"/>
        <v>11500</v>
      </c>
      <c r="G146" s="77"/>
      <c r="H146" s="77"/>
      <c r="I146" s="78"/>
      <c r="J146" s="79"/>
      <c r="K146" s="31"/>
      <c r="L146" s="80"/>
      <c r="M146" s="47"/>
    </row>
    <row r="147" spans="1:13" ht="60" x14ac:dyDescent="0.25">
      <c r="A147" s="62">
        <f>A146+0.01</f>
        <v>4.0199999999999996</v>
      </c>
      <c r="B147" s="75" t="s">
        <v>148</v>
      </c>
      <c r="C147" s="26" t="s">
        <v>112</v>
      </c>
      <c r="D147" s="82">
        <v>3</v>
      </c>
      <c r="E147" s="57">
        <v>18172</v>
      </c>
      <c r="F147" s="27">
        <f t="shared" si="57"/>
        <v>54516</v>
      </c>
      <c r="G147" s="77"/>
      <c r="H147" s="77"/>
      <c r="I147" s="78"/>
      <c r="J147" s="79"/>
      <c r="K147" s="31"/>
      <c r="L147" s="80"/>
      <c r="M147" s="47"/>
    </row>
    <row r="148" spans="1:13" ht="60" x14ac:dyDescent="0.25">
      <c r="A148" s="62">
        <f t="shared" ref="A148:A150" si="84">A147+0.01</f>
        <v>4.0299999999999994</v>
      </c>
      <c r="B148" s="75" t="s">
        <v>149</v>
      </c>
      <c r="C148" s="26" t="s">
        <v>112</v>
      </c>
      <c r="D148" s="82">
        <v>1</v>
      </c>
      <c r="E148" s="57">
        <v>25250</v>
      </c>
      <c r="F148" s="27">
        <f t="shared" si="57"/>
        <v>25250</v>
      </c>
      <c r="G148" s="77"/>
      <c r="H148" s="77"/>
      <c r="I148" s="78"/>
      <c r="J148" s="79"/>
      <c r="K148" s="31"/>
      <c r="L148" s="80"/>
      <c r="M148" s="47"/>
    </row>
    <row r="149" spans="1:13" ht="24" x14ac:dyDescent="0.25">
      <c r="A149" s="62">
        <f t="shared" si="84"/>
        <v>4.0399999999999991</v>
      </c>
      <c r="B149" s="75" t="s">
        <v>150</v>
      </c>
      <c r="C149" s="26" t="s">
        <v>79</v>
      </c>
      <c r="D149" s="82">
        <v>1</v>
      </c>
      <c r="E149" s="63">
        <v>253</v>
      </c>
      <c r="F149" s="27">
        <f t="shared" si="57"/>
        <v>253</v>
      </c>
      <c r="G149" s="77"/>
      <c r="H149" s="77"/>
      <c r="I149" s="78"/>
      <c r="J149" s="79"/>
      <c r="K149" s="31"/>
      <c r="L149" s="80"/>
      <c r="M149" s="47"/>
    </row>
    <row r="150" spans="1:13" x14ac:dyDescent="0.25">
      <c r="A150" s="62">
        <f t="shared" si="84"/>
        <v>4.0499999999999989</v>
      </c>
      <c r="B150" s="67" t="s">
        <v>151</v>
      </c>
      <c r="C150" s="26" t="s">
        <v>79</v>
      </c>
      <c r="D150" s="82">
        <v>2</v>
      </c>
      <c r="E150" s="57">
        <v>4400</v>
      </c>
      <c r="F150" s="27">
        <f t="shared" si="57"/>
        <v>8800</v>
      </c>
      <c r="G150" s="77"/>
      <c r="H150" s="77"/>
      <c r="I150" s="78"/>
      <c r="J150" s="79"/>
      <c r="K150" s="31"/>
      <c r="L150" s="80"/>
      <c r="M150" s="47"/>
    </row>
    <row r="151" spans="1:13" x14ac:dyDescent="0.25">
      <c r="A151" s="62"/>
      <c r="B151" s="24" t="s">
        <v>29</v>
      </c>
      <c r="C151" s="26"/>
      <c r="D151" s="81"/>
      <c r="E151" s="27"/>
      <c r="F151" s="52">
        <f>SUM(F146:F150)</f>
        <v>100319</v>
      </c>
      <c r="G151" s="77"/>
      <c r="H151" s="77"/>
      <c r="I151" s="78"/>
      <c r="J151" s="79"/>
      <c r="K151" s="31"/>
      <c r="L151" s="80"/>
      <c r="M151" s="47"/>
    </row>
    <row r="152" spans="1:13" x14ac:dyDescent="0.25">
      <c r="A152" s="84">
        <v>5</v>
      </c>
      <c r="B152" s="49" t="s">
        <v>152</v>
      </c>
      <c r="C152" s="26"/>
      <c r="D152" s="81"/>
      <c r="E152" s="27"/>
      <c r="F152" s="52"/>
      <c r="G152" s="77"/>
      <c r="H152" s="77"/>
      <c r="I152" s="78"/>
      <c r="J152" s="79"/>
      <c r="K152" s="31"/>
      <c r="L152" s="80"/>
      <c r="M152" s="47"/>
    </row>
    <row r="153" spans="1:13" x14ac:dyDescent="0.25">
      <c r="A153" s="62">
        <f>A152+0.01</f>
        <v>5.01</v>
      </c>
      <c r="B153" s="67" t="s">
        <v>153</v>
      </c>
      <c r="C153" s="26" t="s">
        <v>38</v>
      </c>
      <c r="D153" s="82">
        <v>53.9</v>
      </c>
      <c r="E153" s="63">
        <v>380</v>
      </c>
      <c r="F153" s="27">
        <f t="shared" si="57"/>
        <v>20482</v>
      </c>
      <c r="G153" s="77"/>
      <c r="H153" s="87">
        <f t="shared" ref="H153:H165" si="85">D153</f>
        <v>53.9</v>
      </c>
      <c r="I153" s="59">
        <f t="shared" ref="I153:I165" si="86">G153+H153</f>
        <v>53.9</v>
      </c>
      <c r="J153" s="60">
        <f t="shared" ref="J153:J165" si="87">I153/D153</f>
        <v>1</v>
      </c>
      <c r="K153" s="31"/>
      <c r="L153" s="61">
        <f t="shared" ref="L153:L165" si="88">H153*E153</f>
        <v>20482</v>
      </c>
      <c r="M153" s="42">
        <f t="shared" ref="M153:M166" si="89">K153+L153</f>
        <v>20482</v>
      </c>
    </row>
    <row r="154" spans="1:13" ht="24" x14ac:dyDescent="0.25">
      <c r="A154" s="62">
        <f t="shared" ref="A154:A165" si="90">A153+0.01</f>
        <v>5.0199999999999996</v>
      </c>
      <c r="B154" s="75" t="s">
        <v>154</v>
      </c>
      <c r="C154" s="26" t="s">
        <v>38</v>
      </c>
      <c r="D154" s="82">
        <v>3.23</v>
      </c>
      <c r="E154" s="57">
        <v>14454.65</v>
      </c>
      <c r="F154" s="27">
        <f t="shared" si="57"/>
        <v>46688.519500000002</v>
      </c>
      <c r="G154" s="77"/>
      <c r="H154" s="87">
        <f t="shared" si="85"/>
        <v>3.23</v>
      </c>
      <c r="I154" s="59">
        <f t="shared" si="86"/>
        <v>3.23</v>
      </c>
      <c r="J154" s="60">
        <f t="shared" si="87"/>
        <v>1</v>
      </c>
      <c r="K154" s="31"/>
      <c r="L154" s="61">
        <f t="shared" si="88"/>
        <v>46688.519500000002</v>
      </c>
      <c r="M154" s="42">
        <f t="shared" si="89"/>
        <v>46688.519500000002</v>
      </c>
    </row>
    <row r="155" spans="1:13" ht="24" x14ac:dyDescent="0.25">
      <c r="A155" s="62">
        <f t="shared" si="90"/>
        <v>5.0299999999999994</v>
      </c>
      <c r="B155" s="75" t="s">
        <v>155</v>
      </c>
      <c r="C155" s="26" t="s">
        <v>38</v>
      </c>
      <c r="D155" s="82">
        <v>3.23</v>
      </c>
      <c r="E155" s="57">
        <v>21541.448899999999</v>
      </c>
      <c r="F155" s="27">
        <f t="shared" si="57"/>
        <v>69578.879946999994</v>
      </c>
      <c r="G155" s="77"/>
      <c r="H155" s="87">
        <f t="shared" si="85"/>
        <v>3.23</v>
      </c>
      <c r="I155" s="59">
        <f t="shared" si="86"/>
        <v>3.23</v>
      </c>
      <c r="J155" s="60">
        <f t="shared" si="87"/>
        <v>1</v>
      </c>
      <c r="K155" s="31"/>
      <c r="L155" s="61">
        <f t="shared" si="88"/>
        <v>69578.879946999994</v>
      </c>
      <c r="M155" s="42">
        <f t="shared" si="89"/>
        <v>69578.879946999994</v>
      </c>
    </row>
    <row r="156" spans="1:13" ht="24" x14ac:dyDescent="0.25">
      <c r="A156" s="62">
        <f t="shared" si="90"/>
        <v>5.0399999999999991</v>
      </c>
      <c r="B156" s="75" t="s">
        <v>156</v>
      </c>
      <c r="C156" s="26" t="s">
        <v>35</v>
      </c>
      <c r="D156" s="82">
        <v>51</v>
      </c>
      <c r="E156" s="63">
        <v>1057.72</v>
      </c>
      <c r="F156" s="27">
        <f t="shared" si="57"/>
        <v>53943.72</v>
      </c>
      <c r="G156" s="77"/>
      <c r="H156" s="87">
        <f t="shared" si="85"/>
        <v>51</v>
      </c>
      <c r="I156" s="59">
        <f t="shared" si="86"/>
        <v>51</v>
      </c>
      <c r="J156" s="60">
        <f t="shared" si="87"/>
        <v>1</v>
      </c>
      <c r="K156" s="31"/>
      <c r="L156" s="61">
        <f t="shared" si="88"/>
        <v>53943.72</v>
      </c>
      <c r="M156" s="42">
        <f t="shared" si="89"/>
        <v>53943.72</v>
      </c>
    </row>
    <row r="157" spans="1:13" ht="24" x14ac:dyDescent="0.25">
      <c r="A157" s="62">
        <f t="shared" si="90"/>
        <v>5.0499999999999989</v>
      </c>
      <c r="B157" s="75" t="s">
        <v>157</v>
      </c>
      <c r="C157" s="26" t="s">
        <v>38</v>
      </c>
      <c r="D157" s="82">
        <v>0.53</v>
      </c>
      <c r="E157" s="57">
        <v>27370.65</v>
      </c>
      <c r="F157" s="27">
        <f t="shared" si="57"/>
        <v>14506.444500000001</v>
      </c>
      <c r="G157" s="77"/>
      <c r="H157" s="87">
        <f t="shared" si="85"/>
        <v>0.53</v>
      </c>
      <c r="I157" s="59">
        <f t="shared" si="86"/>
        <v>0.53</v>
      </c>
      <c r="J157" s="60">
        <f t="shared" si="87"/>
        <v>1</v>
      </c>
      <c r="K157" s="31"/>
      <c r="L157" s="61">
        <f t="shared" si="88"/>
        <v>14506.444500000001</v>
      </c>
      <c r="M157" s="42">
        <f t="shared" si="89"/>
        <v>14506.444500000001</v>
      </c>
    </row>
    <row r="158" spans="1:13" ht="24" x14ac:dyDescent="0.25">
      <c r="A158" s="62">
        <f t="shared" si="90"/>
        <v>5.0599999999999987</v>
      </c>
      <c r="B158" s="75" t="s">
        <v>158</v>
      </c>
      <c r="C158" s="26" t="s">
        <v>38</v>
      </c>
      <c r="D158" s="82">
        <v>0.13</v>
      </c>
      <c r="E158" s="57">
        <v>35550.339999999997</v>
      </c>
      <c r="F158" s="27">
        <f t="shared" si="57"/>
        <v>4621.5441999999994</v>
      </c>
      <c r="G158" s="77"/>
      <c r="H158" s="87">
        <f t="shared" si="85"/>
        <v>0.13</v>
      </c>
      <c r="I158" s="59">
        <f t="shared" si="86"/>
        <v>0.13</v>
      </c>
      <c r="J158" s="60">
        <f t="shared" si="87"/>
        <v>1</v>
      </c>
      <c r="K158" s="31"/>
      <c r="L158" s="61">
        <f t="shared" si="88"/>
        <v>4621.5441999999994</v>
      </c>
      <c r="M158" s="42">
        <f t="shared" si="89"/>
        <v>4621.5441999999994</v>
      </c>
    </row>
    <row r="159" spans="1:13" ht="24" x14ac:dyDescent="0.25">
      <c r="A159" s="62">
        <f t="shared" si="90"/>
        <v>5.0699999999999985</v>
      </c>
      <c r="B159" s="75" t="s">
        <v>159</v>
      </c>
      <c r="C159" s="26" t="s">
        <v>38</v>
      </c>
      <c r="D159" s="82">
        <v>1.07</v>
      </c>
      <c r="E159" s="57">
        <v>25665.24</v>
      </c>
      <c r="F159" s="27">
        <f t="shared" si="57"/>
        <v>27461.806800000002</v>
      </c>
      <c r="G159" s="77"/>
      <c r="H159" s="87">
        <f t="shared" si="85"/>
        <v>1.07</v>
      </c>
      <c r="I159" s="59">
        <f t="shared" si="86"/>
        <v>1.07</v>
      </c>
      <c r="J159" s="60">
        <f t="shared" si="87"/>
        <v>1</v>
      </c>
      <c r="K159" s="31"/>
      <c r="L159" s="61">
        <f t="shared" si="88"/>
        <v>27461.806800000002</v>
      </c>
      <c r="M159" s="42">
        <f t="shared" si="89"/>
        <v>27461.806800000002</v>
      </c>
    </row>
    <row r="160" spans="1:13" ht="24" x14ac:dyDescent="0.25">
      <c r="A160" s="62">
        <f t="shared" si="90"/>
        <v>5.0799999999999983</v>
      </c>
      <c r="B160" s="75" t="s">
        <v>160</v>
      </c>
      <c r="C160" s="26" t="s">
        <v>38</v>
      </c>
      <c r="D160" s="82">
        <v>2.5499999999999998</v>
      </c>
      <c r="E160" s="57">
        <v>11850.62</v>
      </c>
      <c r="F160" s="27">
        <f t="shared" si="57"/>
        <v>30219.080999999998</v>
      </c>
      <c r="G160" s="77"/>
      <c r="H160" s="87">
        <f t="shared" si="85"/>
        <v>2.5499999999999998</v>
      </c>
      <c r="I160" s="59">
        <f t="shared" si="86"/>
        <v>2.5499999999999998</v>
      </c>
      <c r="J160" s="60">
        <f t="shared" si="87"/>
        <v>1</v>
      </c>
      <c r="K160" s="31"/>
      <c r="L160" s="61">
        <f t="shared" si="88"/>
        <v>30219.080999999998</v>
      </c>
      <c r="M160" s="42">
        <f t="shared" si="89"/>
        <v>30219.080999999998</v>
      </c>
    </row>
    <row r="161" spans="1:13" ht="24" x14ac:dyDescent="0.25">
      <c r="A161" s="62">
        <f t="shared" si="90"/>
        <v>5.0899999999999981</v>
      </c>
      <c r="B161" s="75" t="s">
        <v>161</v>
      </c>
      <c r="C161" s="26" t="s">
        <v>38</v>
      </c>
      <c r="D161" s="82">
        <v>1.25</v>
      </c>
      <c r="E161" s="57">
        <v>9085.4</v>
      </c>
      <c r="F161" s="27">
        <f t="shared" si="57"/>
        <v>11356.75</v>
      </c>
      <c r="G161" s="77"/>
      <c r="H161" s="87">
        <f t="shared" si="85"/>
        <v>1.25</v>
      </c>
      <c r="I161" s="59">
        <f t="shared" si="86"/>
        <v>1.25</v>
      </c>
      <c r="J161" s="60">
        <f t="shared" si="87"/>
        <v>1</v>
      </c>
      <c r="K161" s="31"/>
      <c r="L161" s="61">
        <f t="shared" si="88"/>
        <v>11356.75</v>
      </c>
      <c r="M161" s="42">
        <f t="shared" si="89"/>
        <v>11356.75</v>
      </c>
    </row>
    <row r="162" spans="1:13" x14ac:dyDescent="0.25">
      <c r="A162" s="62">
        <f t="shared" si="90"/>
        <v>5.0999999999999979</v>
      </c>
      <c r="B162" s="75" t="s">
        <v>162</v>
      </c>
      <c r="C162" s="26" t="s">
        <v>35</v>
      </c>
      <c r="D162" s="82">
        <v>84.56</v>
      </c>
      <c r="E162" s="63">
        <v>418.88</v>
      </c>
      <c r="F162" s="27">
        <f t="shared" si="57"/>
        <v>35420.4928</v>
      </c>
      <c r="G162" s="77"/>
      <c r="H162" s="87">
        <f t="shared" si="85"/>
        <v>84.56</v>
      </c>
      <c r="I162" s="59">
        <f t="shared" si="86"/>
        <v>84.56</v>
      </c>
      <c r="J162" s="60">
        <f t="shared" si="87"/>
        <v>1</v>
      </c>
      <c r="K162" s="31"/>
      <c r="L162" s="61">
        <f t="shared" si="88"/>
        <v>35420.4928</v>
      </c>
      <c r="M162" s="42">
        <f t="shared" si="89"/>
        <v>35420.4928</v>
      </c>
    </row>
    <row r="163" spans="1:13" x14ac:dyDescent="0.25">
      <c r="A163" s="62">
        <f t="shared" si="90"/>
        <v>5.1099999999999977</v>
      </c>
      <c r="B163" s="75" t="s">
        <v>163</v>
      </c>
      <c r="C163" s="26" t="s">
        <v>33</v>
      </c>
      <c r="D163" s="82">
        <v>16</v>
      </c>
      <c r="E163" s="63">
        <v>161.12</v>
      </c>
      <c r="F163" s="27">
        <f t="shared" si="57"/>
        <v>2577.92</v>
      </c>
      <c r="G163" s="77"/>
      <c r="H163" s="87">
        <f t="shared" si="85"/>
        <v>16</v>
      </c>
      <c r="I163" s="59">
        <f t="shared" si="86"/>
        <v>16</v>
      </c>
      <c r="J163" s="60">
        <f t="shared" si="87"/>
        <v>1</v>
      </c>
      <c r="K163" s="31"/>
      <c r="L163" s="61">
        <f t="shared" si="88"/>
        <v>2577.92</v>
      </c>
      <c r="M163" s="42">
        <f t="shared" si="89"/>
        <v>2577.92</v>
      </c>
    </row>
    <row r="164" spans="1:13" x14ac:dyDescent="0.25">
      <c r="A164" s="62">
        <f t="shared" si="90"/>
        <v>5.1199999999999974</v>
      </c>
      <c r="B164" s="75" t="s">
        <v>164</v>
      </c>
      <c r="C164" s="26" t="s">
        <v>112</v>
      </c>
      <c r="D164" s="82">
        <v>1</v>
      </c>
      <c r="E164" s="57">
        <v>4500</v>
      </c>
      <c r="F164" s="27">
        <f t="shared" si="57"/>
        <v>4500</v>
      </c>
      <c r="G164" s="77"/>
      <c r="H164" s="87">
        <f t="shared" si="85"/>
        <v>1</v>
      </c>
      <c r="I164" s="59">
        <f t="shared" si="86"/>
        <v>1</v>
      </c>
      <c r="J164" s="60">
        <f t="shared" si="87"/>
        <v>1</v>
      </c>
      <c r="K164" s="31"/>
      <c r="L164" s="61">
        <f t="shared" si="88"/>
        <v>4500</v>
      </c>
      <c r="M164" s="42">
        <f t="shared" si="89"/>
        <v>4500</v>
      </c>
    </row>
    <row r="165" spans="1:13" x14ac:dyDescent="0.25">
      <c r="A165" s="62">
        <f t="shared" si="90"/>
        <v>5.1299999999999972</v>
      </c>
      <c r="B165" s="75" t="s">
        <v>165</v>
      </c>
      <c r="C165" s="26" t="s">
        <v>38</v>
      </c>
      <c r="D165" s="82">
        <v>70.069999999999993</v>
      </c>
      <c r="E165" s="63">
        <v>280</v>
      </c>
      <c r="F165" s="27">
        <f t="shared" si="57"/>
        <v>19619.599999999999</v>
      </c>
      <c r="G165" s="77"/>
      <c r="H165" s="87">
        <f t="shared" si="85"/>
        <v>70.069999999999993</v>
      </c>
      <c r="I165" s="59">
        <f t="shared" si="86"/>
        <v>70.069999999999993</v>
      </c>
      <c r="J165" s="60">
        <f t="shared" si="87"/>
        <v>1</v>
      </c>
      <c r="K165" s="31"/>
      <c r="L165" s="61">
        <f t="shared" si="88"/>
        <v>19619.599999999999</v>
      </c>
      <c r="M165" s="42">
        <f t="shared" si="89"/>
        <v>19619.599999999999</v>
      </c>
    </row>
    <row r="166" spans="1:13" x14ac:dyDescent="0.25">
      <c r="A166" s="62"/>
      <c r="B166" s="24" t="s">
        <v>29</v>
      </c>
      <c r="C166" s="26"/>
      <c r="D166" s="81"/>
      <c r="E166" s="27"/>
      <c r="F166" s="52">
        <f>SUM(F153:F165)</f>
        <v>340976.75874699996</v>
      </c>
      <c r="G166" s="77"/>
      <c r="H166" s="77"/>
      <c r="I166" s="78"/>
      <c r="J166" s="79"/>
      <c r="K166" s="31"/>
      <c r="L166" s="80">
        <f>SUM(L153:L165)</f>
        <v>340976.75874699996</v>
      </c>
      <c r="M166" s="47">
        <f t="shared" si="89"/>
        <v>340976.75874699996</v>
      </c>
    </row>
    <row r="167" spans="1:13" x14ac:dyDescent="0.25">
      <c r="A167" s="84">
        <v>6</v>
      </c>
      <c r="B167" s="86" t="s">
        <v>166</v>
      </c>
      <c r="C167" s="50"/>
      <c r="D167" s="85"/>
      <c r="E167" s="52"/>
      <c r="F167" s="52"/>
      <c r="G167" s="77"/>
      <c r="H167" s="77"/>
      <c r="I167" s="78"/>
      <c r="J167" s="79"/>
      <c r="K167" s="31"/>
      <c r="L167" s="80"/>
      <c r="M167" s="47"/>
    </row>
    <row r="168" spans="1:13" ht="36" x14ac:dyDescent="0.25">
      <c r="A168" s="62">
        <f>A167+0.01</f>
        <v>6.01</v>
      </c>
      <c r="B168" s="75" t="s">
        <v>167</v>
      </c>
      <c r="C168" s="26" t="s">
        <v>112</v>
      </c>
      <c r="D168" s="81">
        <v>1</v>
      </c>
      <c r="E168" s="57">
        <v>250000</v>
      </c>
      <c r="F168" s="27">
        <f t="shared" ref="F168:F169" si="91">E168*D168</f>
        <v>250000</v>
      </c>
      <c r="G168" s="77"/>
      <c r="H168" s="77"/>
      <c r="I168" s="78"/>
      <c r="J168" s="79"/>
      <c r="K168" s="31"/>
      <c r="L168" s="80"/>
      <c r="M168" s="47"/>
    </row>
    <row r="169" spans="1:13" ht="48" x14ac:dyDescent="0.25">
      <c r="A169" s="62">
        <f>A168+0.01</f>
        <v>6.02</v>
      </c>
      <c r="B169" s="75" t="s">
        <v>168</v>
      </c>
      <c r="C169" s="26" t="s">
        <v>79</v>
      </c>
      <c r="D169" s="81">
        <v>1</v>
      </c>
      <c r="E169" s="57">
        <v>77000</v>
      </c>
      <c r="F169" s="27">
        <f t="shared" si="91"/>
        <v>77000</v>
      </c>
      <c r="G169" s="77"/>
      <c r="H169" s="77"/>
      <c r="I169" s="78"/>
      <c r="J169" s="79"/>
      <c r="K169" s="31"/>
      <c r="L169" s="80"/>
      <c r="M169" s="47"/>
    </row>
    <row r="170" spans="1:13" x14ac:dyDescent="0.25">
      <c r="A170" s="62"/>
      <c r="B170" s="24" t="s">
        <v>29</v>
      </c>
      <c r="C170" s="26"/>
      <c r="D170" s="81"/>
      <c r="E170" s="27"/>
      <c r="F170" s="52">
        <f>SUM(F168:F169)</f>
        <v>327000</v>
      </c>
      <c r="G170" s="77"/>
      <c r="H170" s="77"/>
      <c r="I170" s="78"/>
      <c r="J170" s="79"/>
      <c r="K170" s="31"/>
      <c r="L170" s="80"/>
      <c r="M170" s="47"/>
    </row>
    <row r="171" spans="1:13" x14ac:dyDescent="0.25">
      <c r="A171" s="62"/>
      <c r="B171" s="24"/>
      <c r="C171" s="26"/>
      <c r="D171" s="81"/>
      <c r="E171" s="27"/>
      <c r="F171" s="52">
        <f>F170+F166+F151+F144+F141+F135</f>
        <v>1050472.6688020001</v>
      </c>
      <c r="G171" s="77"/>
      <c r="H171" s="77"/>
      <c r="I171" s="78"/>
      <c r="J171" s="79"/>
      <c r="K171" s="31"/>
      <c r="L171" s="80"/>
      <c r="M171" s="47"/>
    </row>
    <row r="172" spans="1:13" x14ac:dyDescent="0.25">
      <c r="A172" s="62"/>
      <c r="B172" s="49" t="s">
        <v>169</v>
      </c>
      <c r="C172" s="26"/>
      <c r="D172" s="81"/>
      <c r="E172" s="27"/>
      <c r="F172" s="91">
        <f>F171+F130+F82</f>
        <v>9964595.2752020024</v>
      </c>
      <c r="G172" s="92"/>
      <c r="H172" s="92"/>
      <c r="I172" s="93"/>
      <c r="J172" s="92"/>
      <c r="K172" s="94">
        <f>K99+K96+K93+K87</f>
        <v>3450550.75</v>
      </c>
      <c r="L172" s="95">
        <f>L166++L144+L141+L129+L123+L81+L68+L62+L56+L49+L21</f>
        <v>3860023.6652020002</v>
      </c>
      <c r="M172" s="47">
        <f t="shared" ref="M172" si="92">K172+L172</f>
        <v>7310574.4152020002</v>
      </c>
    </row>
    <row r="173" spans="1:13" x14ac:dyDescent="0.25">
      <c r="A173" s="96"/>
      <c r="B173" s="97"/>
      <c r="C173" s="9"/>
      <c r="D173" s="98"/>
      <c r="E173" s="99"/>
      <c r="F173" s="100"/>
      <c r="G173" s="101"/>
      <c r="H173" s="101"/>
      <c r="I173" s="102"/>
      <c r="J173" s="103"/>
      <c r="K173" s="104"/>
      <c r="L173" s="105"/>
      <c r="M173" s="105"/>
    </row>
    <row r="174" spans="1:13" x14ac:dyDescent="0.25">
      <c r="A174" s="96"/>
      <c r="B174" s="97"/>
      <c r="C174" s="9"/>
      <c r="D174" s="98"/>
      <c r="E174" s="99"/>
      <c r="F174" s="100"/>
      <c r="G174" s="101"/>
      <c r="H174" s="101"/>
      <c r="I174" s="102"/>
      <c r="J174" s="103"/>
      <c r="K174" s="104"/>
      <c r="L174" s="105"/>
      <c r="M174" s="105"/>
    </row>
    <row r="175" spans="1:13" x14ac:dyDescent="0.25">
      <c r="A175" s="96"/>
      <c r="B175" s="97"/>
      <c r="C175" s="9"/>
      <c r="D175" s="98"/>
      <c r="E175" s="99"/>
      <c r="F175" s="100"/>
      <c r="G175" s="101"/>
      <c r="H175" s="101"/>
      <c r="I175" s="102"/>
      <c r="J175" s="103"/>
      <c r="K175" s="104"/>
      <c r="L175" s="105"/>
      <c r="M175" s="105"/>
    </row>
    <row r="176" spans="1:13" x14ac:dyDescent="0.25">
      <c r="A176" s="96"/>
      <c r="B176" s="97"/>
      <c r="C176" s="9"/>
      <c r="D176" s="98"/>
      <c r="E176" s="99"/>
      <c r="F176" s="100"/>
      <c r="G176" s="101"/>
      <c r="H176" s="101"/>
      <c r="I176" s="102"/>
      <c r="J176" s="103"/>
      <c r="K176" s="104"/>
      <c r="L176" s="105"/>
      <c r="M176" s="105"/>
    </row>
    <row r="177" spans="1:13" x14ac:dyDescent="0.25">
      <c r="A177" s="96"/>
      <c r="B177" s="97"/>
      <c r="C177" s="9"/>
      <c r="D177" s="98"/>
      <c r="E177" s="99"/>
      <c r="F177" s="100"/>
      <c r="G177" s="101"/>
      <c r="H177" s="101"/>
      <c r="I177" s="102"/>
      <c r="J177" s="103"/>
      <c r="K177" s="104"/>
      <c r="L177" s="105"/>
      <c r="M177" s="105"/>
    </row>
    <row r="178" spans="1:13" x14ac:dyDescent="0.25">
      <c r="A178" s="96"/>
      <c r="B178" s="97"/>
      <c r="C178" s="9"/>
      <c r="D178" s="98"/>
      <c r="E178" s="99"/>
      <c r="F178" s="100"/>
      <c r="G178" s="101"/>
      <c r="H178" s="101"/>
      <c r="I178" s="102"/>
      <c r="J178" s="103"/>
      <c r="K178" s="104"/>
      <c r="L178" s="105"/>
      <c r="M178" s="105"/>
    </row>
    <row r="179" spans="1:13" x14ac:dyDescent="0.25">
      <c r="A179" s="96"/>
      <c r="B179" s="97"/>
      <c r="C179" s="9"/>
      <c r="D179" s="98"/>
      <c r="E179" s="99"/>
      <c r="F179" s="100"/>
      <c r="G179" s="101"/>
      <c r="H179" s="101"/>
      <c r="I179" s="102"/>
      <c r="J179" s="103"/>
      <c r="K179" s="104"/>
      <c r="L179" s="105"/>
      <c r="M179" s="105"/>
    </row>
    <row r="180" spans="1:13" x14ac:dyDescent="0.25">
      <c r="A180" s="96"/>
      <c r="B180" s="97"/>
      <c r="C180" s="9"/>
      <c r="D180" s="98"/>
      <c r="E180" s="99"/>
      <c r="F180" s="100"/>
      <c r="G180" s="101"/>
      <c r="H180" s="101"/>
      <c r="I180" s="102"/>
      <c r="J180" s="103"/>
      <c r="K180" s="104"/>
      <c r="L180" s="105"/>
      <c r="M180" s="105"/>
    </row>
    <row r="181" spans="1:13" x14ac:dyDescent="0.25">
      <c r="A181" s="96"/>
      <c r="B181" s="97"/>
      <c r="C181" s="9"/>
      <c r="D181" s="98"/>
      <c r="E181" s="99"/>
      <c r="F181" s="100"/>
      <c r="G181" s="101"/>
      <c r="H181" s="101"/>
      <c r="I181" s="102"/>
      <c r="J181" s="103"/>
      <c r="K181" s="104"/>
      <c r="L181" s="105"/>
      <c r="M181" s="105"/>
    </row>
    <row r="182" spans="1:13" x14ac:dyDescent="0.25">
      <c r="A182" s="96"/>
      <c r="B182" s="97"/>
      <c r="C182" s="9"/>
      <c r="D182" s="98"/>
      <c r="E182" s="99"/>
      <c r="F182" s="100"/>
      <c r="G182" s="101"/>
      <c r="H182" s="101"/>
      <c r="I182" s="102"/>
      <c r="J182" s="103"/>
      <c r="K182" s="104"/>
      <c r="L182" s="105"/>
      <c r="M182" s="105"/>
    </row>
    <row r="183" spans="1:13" x14ac:dyDescent="0.25">
      <c r="A183" s="96"/>
      <c r="B183" s="97"/>
      <c r="C183" s="9"/>
      <c r="D183" s="98"/>
      <c r="E183" s="99"/>
      <c r="F183" s="100"/>
      <c r="G183" s="101"/>
      <c r="H183" s="101"/>
      <c r="I183" s="102"/>
      <c r="J183" s="103"/>
      <c r="K183" s="104"/>
      <c r="L183" s="105"/>
      <c r="M183" s="105"/>
    </row>
    <row r="184" spans="1:13" x14ac:dyDescent="0.25">
      <c r="A184" s="96"/>
      <c r="B184" s="97"/>
      <c r="C184" s="9"/>
      <c r="D184" s="98"/>
      <c r="E184" s="99"/>
      <c r="F184" s="100"/>
      <c r="G184" s="101"/>
      <c r="H184" s="101"/>
      <c r="I184" s="102"/>
      <c r="J184" s="103"/>
      <c r="K184" s="104"/>
      <c r="L184" s="105"/>
      <c r="M184" s="105"/>
    </row>
    <row r="185" spans="1:13" x14ac:dyDescent="0.25">
      <c r="A185" s="96"/>
      <c r="B185" s="97"/>
      <c r="C185" s="9"/>
      <c r="D185" s="98"/>
      <c r="E185" s="99"/>
      <c r="F185" s="100"/>
      <c r="G185" s="101"/>
      <c r="H185" s="101"/>
      <c r="I185" s="102"/>
      <c r="J185" s="103"/>
      <c r="K185" s="104"/>
      <c r="L185" s="105"/>
      <c r="M185" s="105"/>
    </row>
    <row r="186" spans="1:13" x14ac:dyDescent="0.25">
      <c r="A186" s="96"/>
      <c r="B186" s="97"/>
      <c r="C186" s="9"/>
      <c r="D186" s="98"/>
      <c r="E186" s="99"/>
      <c r="F186" s="100"/>
      <c r="G186" s="101"/>
      <c r="H186" s="101"/>
      <c r="I186" s="102"/>
      <c r="J186" s="103"/>
      <c r="K186" s="104"/>
      <c r="L186" s="105"/>
      <c r="M186" s="105"/>
    </row>
    <row r="187" spans="1:13" x14ac:dyDescent="0.25">
      <c r="A187" s="96"/>
      <c r="B187" s="97"/>
      <c r="C187" s="9"/>
      <c r="D187" s="98"/>
      <c r="E187" s="99"/>
      <c r="F187" s="100"/>
      <c r="G187" s="101"/>
      <c r="H187" s="101"/>
      <c r="I187" s="102"/>
      <c r="J187" s="103"/>
      <c r="K187" s="104"/>
      <c r="L187" s="105"/>
      <c r="M187" s="105"/>
    </row>
    <row r="188" spans="1:13" x14ac:dyDescent="0.25">
      <c r="A188" s="96"/>
      <c r="B188" s="97"/>
      <c r="C188" s="9"/>
      <c r="D188" s="98"/>
      <c r="E188" s="99"/>
      <c r="F188" s="100"/>
      <c r="G188" s="101"/>
      <c r="H188" s="101"/>
      <c r="I188" s="102"/>
      <c r="J188" s="103"/>
      <c r="K188" s="104"/>
      <c r="L188" s="105"/>
      <c r="M188" s="105"/>
    </row>
    <row r="189" spans="1:13" x14ac:dyDescent="0.25">
      <c r="A189" s="96"/>
      <c r="B189" s="97"/>
      <c r="C189" s="9"/>
      <c r="D189" s="98"/>
      <c r="E189" s="99"/>
      <c r="F189" s="100"/>
      <c r="G189" s="101"/>
      <c r="H189" s="101"/>
      <c r="I189" s="102"/>
      <c r="J189" s="103"/>
      <c r="K189" s="104"/>
      <c r="L189" s="105"/>
      <c r="M189" s="105"/>
    </row>
    <row r="190" spans="1:13" x14ac:dyDescent="0.25">
      <c r="A190" s="96"/>
      <c r="B190" s="97"/>
      <c r="C190" s="9"/>
      <c r="D190" s="98"/>
      <c r="E190" s="99"/>
      <c r="F190" s="100"/>
      <c r="G190" s="101"/>
      <c r="H190" s="101"/>
      <c r="I190" s="102"/>
      <c r="J190" s="103"/>
      <c r="K190" s="104"/>
      <c r="L190" s="105"/>
      <c r="M190" s="105"/>
    </row>
    <row r="191" spans="1:13" x14ac:dyDescent="0.25">
      <c r="A191" s="96"/>
      <c r="B191" s="97"/>
      <c r="C191" s="9"/>
      <c r="D191" s="98"/>
      <c r="E191" s="99"/>
      <c r="F191" s="100"/>
      <c r="G191" s="101"/>
      <c r="H191" s="101"/>
      <c r="I191" s="102"/>
      <c r="J191" s="103"/>
      <c r="K191" s="104"/>
      <c r="L191" s="105"/>
      <c r="M191" s="105"/>
    </row>
    <row r="192" spans="1:13" x14ac:dyDescent="0.25">
      <c r="A192" s="96"/>
      <c r="B192" s="97"/>
      <c r="C192" s="9"/>
      <c r="D192" s="98"/>
      <c r="E192" s="99"/>
      <c r="F192" s="100"/>
      <c r="G192" s="101"/>
      <c r="H192" s="101"/>
      <c r="I192" s="102"/>
      <c r="J192" s="103"/>
      <c r="K192" s="104"/>
      <c r="L192" s="105"/>
      <c r="M192" s="105"/>
    </row>
    <row r="193" spans="1:13" x14ac:dyDescent="0.25">
      <c r="A193" s="96"/>
      <c r="B193" s="97"/>
      <c r="C193" s="9"/>
      <c r="D193" s="98"/>
      <c r="E193" s="99"/>
      <c r="F193" s="100"/>
      <c r="G193" s="101"/>
      <c r="H193" s="101"/>
      <c r="I193" s="102"/>
      <c r="J193" s="103"/>
      <c r="K193" s="104"/>
      <c r="L193" s="105"/>
      <c r="M193" s="105"/>
    </row>
    <row r="194" spans="1:13" x14ac:dyDescent="0.25">
      <c r="A194" s="96"/>
      <c r="B194" s="97"/>
      <c r="C194" s="9"/>
      <c r="D194" s="98"/>
      <c r="E194" s="99"/>
      <c r="F194" s="100"/>
      <c r="G194" s="101"/>
      <c r="H194" s="101"/>
      <c r="I194" s="102"/>
      <c r="J194" s="103"/>
      <c r="K194" s="104"/>
      <c r="L194" s="105"/>
      <c r="M194" s="105"/>
    </row>
    <row r="195" spans="1:13" x14ac:dyDescent="0.25">
      <c r="A195" s="96"/>
      <c r="B195" s="97"/>
      <c r="C195" s="9"/>
      <c r="D195" s="98"/>
      <c r="E195" s="99"/>
      <c r="F195" s="100"/>
      <c r="G195" s="101"/>
      <c r="H195" s="101"/>
      <c r="I195" s="102"/>
      <c r="J195" s="103"/>
      <c r="K195" s="104"/>
      <c r="L195" s="105"/>
      <c r="M195" s="105"/>
    </row>
    <row r="196" spans="1:13" x14ac:dyDescent="0.25">
      <c r="A196" s="96"/>
      <c r="B196" s="97"/>
      <c r="C196" s="9"/>
      <c r="D196" s="98"/>
      <c r="E196" s="99"/>
      <c r="F196" s="100"/>
      <c r="G196" s="101"/>
      <c r="H196" s="101"/>
      <c r="I196" s="102"/>
      <c r="J196" s="103"/>
      <c r="K196" s="104"/>
      <c r="L196" s="105"/>
      <c r="M196" s="105"/>
    </row>
    <row r="197" spans="1:13" x14ac:dyDescent="0.25">
      <c r="A197" s="96"/>
      <c r="B197" s="97"/>
      <c r="C197" s="9"/>
      <c r="D197" s="98"/>
      <c r="E197" s="99"/>
      <c r="F197" s="100"/>
      <c r="G197" s="101"/>
      <c r="H197" s="101"/>
      <c r="I197" s="102"/>
      <c r="J197" s="103"/>
      <c r="K197" s="104"/>
      <c r="L197" s="105"/>
      <c r="M197" s="105"/>
    </row>
    <row r="198" spans="1:13" x14ac:dyDescent="0.25">
      <c r="A198" s="96"/>
      <c r="B198" s="97"/>
      <c r="C198" s="9"/>
      <c r="D198" s="98"/>
      <c r="E198" s="99"/>
      <c r="F198" s="100"/>
      <c r="G198" s="101"/>
      <c r="H198" s="101"/>
      <c r="I198" s="102"/>
      <c r="J198" s="103"/>
      <c r="K198" s="104"/>
      <c r="L198" s="105"/>
      <c r="M198" s="105"/>
    </row>
    <row r="199" spans="1:13" x14ac:dyDescent="0.25">
      <c r="A199" s="96"/>
      <c r="B199" s="97"/>
      <c r="C199" s="9"/>
      <c r="D199" s="98"/>
      <c r="E199" s="99"/>
      <c r="F199" s="100"/>
      <c r="G199" s="101"/>
      <c r="H199" s="101"/>
      <c r="I199" s="102"/>
      <c r="J199" s="103"/>
      <c r="K199" s="104"/>
      <c r="L199" s="105"/>
      <c r="M199" s="105"/>
    </row>
    <row r="200" spans="1:13" x14ac:dyDescent="0.25">
      <c r="A200" s="96"/>
      <c r="B200" s="97"/>
      <c r="C200" s="9"/>
      <c r="D200" s="98"/>
      <c r="E200" s="99"/>
      <c r="F200" s="100"/>
      <c r="G200" s="101"/>
      <c r="H200" s="101"/>
      <c r="I200" s="102"/>
      <c r="J200" s="103"/>
      <c r="K200" s="104"/>
      <c r="L200" s="105"/>
      <c r="M200" s="105"/>
    </row>
    <row r="201" spans="1:13" x14ac:dyDescent="0.25">
      <c r="A201" s="96"/>
      <c r="B201" s="97"/>
      <c r="C201" s="9"/>
      <c r="D201" s="98"/>
      <c r="E201" s="99"/>
      <c r="F201" s="100"/>
      <c r="G201" s="101"/>
      <c r="H201" s="101"/>
      <c r="I201" s="102"/>
      <c r="J201" s="103"/>
      <c r="K201" s="104"/>
      <c r="L201" s="105"/>
      <c r="M201" s="105"/>
    </row>
    <row r="202" spans="1:13" x14ac:dyDescent="0.25">
      <c r="A202" s="96"/>
      <c r="B202" s="97"/>
      <c r="C202" s="9"/>
      <c r="D202" s="98"/>
      <c r="E202" s="99"/>
      <c r="F202" s="100"/>
      <c r="G202" s="101"/>
      <c r="H202" s="101"/>
      <c r="I202" s="102"/>
      <c r="J202" s="103"/>
      <c r="K202" s="104"/>
      <c r="L202" s="105"/>
      <c r="M202" s="105"/>
    </row>
    <row r="203" spans="1:13" x14ac:dyDescent="0.25">
      <c r="A203" s="96"/>
      <c r="B203" s="97"/>
      <c r="C203" s="9"/>
      <c r="D203" s="98"/>
      <c r="E203" s="99"/>
      <c r="F203" s="100"/>
      <c r="G203" s="101"/>
      <c r="H203" s="101"/>
      <c r="I203" s="102"/>
      <c r="J203" s="103"/>
      <c r="K203" s="104"/>
      <c r="L203" s="105"/>
      <c r="M203" s="105"/>
    </row>
    <row r="204" spans="1:13" x14ac:dyDescent="0.25">
      <c r="A204" s="96"/>
      <c r="B204" s="97"/>
      <c r="C204" s="9"/>
      <c r="D204" s="98"/>
      <c r="E204" s="99"/>
      <c r="F204" s="100"/>
      <c r="G204" s="101"/>
      <c r="H204" s="101"/>
      <c r="I204" s="102"/>
      <c r="J204" s="103"/>
      <c r="K204" s="104"/>
      <c r="L204" s="105"/>
      <c r="M204" s="105"/>
    </row>
    <row r="205" spans="1:13" x14ac:dyDescent="0.25">
      <c r="A205" s="96"/>
      <c r="B205" s="97"/>
      <c r="C205" s="9"/>
      <c r="D205" s="98"/>
      <c r="E205" s="99"/>
      <c r="F205" s="100"/>
      <c r="G205" s="101"/>
      <c r="H205" s="101"/>
      <c r="I205" s="102"/>
      <c r="J205" s="103"/>
      <c r="K205" s="104"/>
      <c r="L205" s="105"/>
      <c r="M205" s="105"/>
    </row>
    <row r="206" spans="1:13" x14ac:dyDescent="0.25">
      <c r="A206" s="421" t="s">
        <v>0</v>
      </c>
      <c r="B206" s="421"/>
      <c r="C206" s="421"/>
      <c r="D206" s="421"/>
      <c r="E206" s="421"/>
      <c r="F206" s="421"/>
      <c r="G206" s="421"/>
      <c r="H206" s="421"/>
      <c r="I206" s="421"/>
      <c r="J206" s="421"/>
      <c r="K206" s="421"/>
      <c r="L206" s="421"/>
      <c r="M206" s="105"/>
    </row>
    <row r="207" spans="1:13" x14ac:dyDescent="0.25">
      <c r="A207" s="421"/>
      <c r="B207" s="421"/>
      <c r="C207" s="421"/>
      <c r="D207" s="421"/>
      <c r="E207" s="421"/>
      <c r="F207" s="421"/>
      <c r="G207" s="421"/>
      <c r="H207" s="421"/>
      <c r="I207" s="421"/>
      <c r="J207" s="421"/>
      <c r="K207" s="421"/>
      <c r="L207" s="421"/>
      <c r="M207" s="105"/>
    </row>
    <row r="208" spans="1:13" x14ac:dyDescent="0.25">
      <c r="B208" s="434" t="s">
        <v>1</v>
      </c>
      <c r="C208" s="434"/>
      <c r="D208" s="434"/>
      <c r="E208" s="434"/>
      <c r="F208" s="434"/>
      <c r="G208" s="434"/>
      <c r="H208" s="434"/>
      <c r="I208" s="434"/>
      <c r="J208" s="434"/>
      <c r="K208" s="434"/>
      <c r="L208" s="434"/>
      <c r="M208" s="105"/>
    </row>
    <row r="209" spans="1:16" x14ac:dyDescent="0.25">
      <c r="B209" s="2"/>
      <c r="C209" s="1"/>
      <c r="D209" s="2"/>
      <c r="E209" s="2"/>
      <c r="F209" s="2"/>
      <c r="G209" s="101"/>
      <c r="H209" s="101"/>
      <c r="I209" s="102"/>
      <c r="J209" s="106"/>
      <c r="K209" s="104"/>
      <c r="L209" s="105"/>
      <c r="M209" s="105"/>
    </row>
    <row r="210" spans="1:16" ht="39" customHeight="1" x14ac:dyDescent="0.25">
      <c r="A210" s="3"/>
      <c r="B210" s="4" t="s">
        <v>2</v>
      </c>
      <c r="C210" s="435" t="s">
        <v>3</v>
      </c>
      <c r="D210" s="435"/>
      <c r="E210" s="435"/>
      <c r="F210" s="435"/>
      <c r="G210" s="107"/>
      <c r="H210" s="107"/>
      <c r="I210" s="108"/>
      <c r="J210" s="109"/>
      <c r="K210" s="102"/>
      <c r="L210" s="4" t="s">
        <v>4</v>
      </c>
      <c r="M210" s="7">
        <v>12047195.689999999</v>
      </c>
      <c r="N210" s="110"/>
    </row>
    <row r="211" spans="1:16" x14ac:dyDescent="0.25">
      <c r="A211" s="3"/>
      <c r="B211" s="4" t="s">
        <v>5</v>
      </c>
      <c r="C211" s="8">
        <v>2</v>
      </c>
      <c r="D211" s="9"/>
      <c r="E211" s="10"/>
      <c r="F211" s="10"/>
      <c r="G211" s="101"/>
      <c r="H211" s="101"/>
      <c r="K211" s="102"/>
      <c r="L211" s="4" t="s">
        <v>6</v>
      </c>
      <c r="M211" s="7">
        <f>0.2*M210</f>
        <v>2409439.1379999998</v>
      </c>
    </row>
    <row r="212" spans="1:16" x14ac:dyDescent="0.25">
      <c r="A212" s="3"/>
      <c r="B212" s="4" t="s">
        <v>7</v>
      </c>
      <c r="C212" s="10" t="s">
        <v>8</v>
      </c>
      <c r="D212" s="1"/>
      <c r="E212" s="10"/>
      <c r="F212" s="10"/>
      <c r="G212" s="101"/>
      <c r="H212" s="101"/>
      <c r="K212" s="102"/>
      <c r="L212" s="4" t="s">
        <v>9</v>
      </c>
      <c r="M212" s="12" t="s">
        <v>10</v>
      </c>
    </row>
    <row r="213" spans="1:16" x14ac:dyDescent="0.25">
      <c r="A213" s="3"/>
      <c r="B213" s="4" t="s">
        <v>11</v>
      </c>
      <c r="C213" s="111" t="s">
        <v>12</v>
      </c>
      <c r="D213" s="1"/>
      <c r="E213" s="10"/>
      <c r="F213" s="10"/>
      <c r="G213" s="101"/>
      <c r="H213" s="101"/>
    </row>
    <row r="214" spans="1:16" x14ac:dyDescent="0.25">
      <c r="G214" s="101"/>
      <c r="H214" s="101"/>
      <c r="I214" s="102"/>
      <c r="J214" s="103"/>
    </row>
    <row r="215" spans="1:16" x14ac:dyDescent="0.25">
      <c r="B215" s="4" t="s">
        <v>170</v>
      </c>
      <c r="C215" s="100"/>
      <c r="D215" s="114" t="s">
        <v>19</v>
      </c>
      <c r="E215" s="114"/>
      <c r="G215" s="101"/>
      <c r="H215" s="436" t="s">
        <v>22</v>
      </c>
      <c r="I215" s="436"/>
      <c r="J215" s="421" t="s">
        <v>23</v>
      </c>
      <c r="K215" s="421"/>
      <c r="L215" s="421" t="s">
        <v>24</v>
      </c>
      <c r="M215" s="421"/>
      <c r="N215" s="2"/>
      <c r="O215" s="2"/>
      <c r="P215" s="9"/>
    </row>
    <row r="216" spans="1:16" x14ac:dyDescent="0.25">
      <c r="D216" s="115">
        <f>F172</f>
        <v>9964595.2752020024</v>
      </c>
      <c r="E216" s="115"/>
      <c r="G216" s="101"/>
      <c r="H216" s="432">
        <f>K172</f>
        <v>3450550.75</v>
      </c>
      <c r="I216" s="432"/>
      <c r="J216" s="433">
        <f>L172</f>
        <v>3860023.6652020002</v>
      </c>
      <c r="K216" s="433"/>
      <c r="L216" s="427">
        <f>H216+J216</f>
        <v>7310574.4152020002</v>
      </c>
      <c r="M216" s="427"/>
      <c r="N216" s="3"/>
    </row>
    <row r="217" spans="1:16" x14ac:dyDescent="0.25">
      <c r="G217" s="101"/>
      <c r="J217" s="116"/>
      <c r="K217" s="116"/>
      <c r="N217" s="3"/>
    </row>
    <row r="218" spans="1:16" x14ac:dyDescent="0.25">
      <c r="B218" s="8" t="s">
        <v>171</v>
      </c>
      <c r="C218" s="117"/>
      <c r="D218" s="118"/>
      <c r="E218" s="118"/>
      <c r="G218" s="101"/>
      <c r="J218" s="116"/>
      <c r="K218" s="116"/>
      <c r="N218" s="3"/>
    </row>
    <row r="219" spans="1:16" x14ac:dyDescent="0.25">
      <c r="B219" s="111" t="s">
        <v>172</v>
      </c>
      <c r="C219" s="119">
        <v>0.03</v>
      </c>
      <c r="D219" s="120">
        <f>C219*D216</f>
        <v>298937.85825606005</v>
      </c>
      <c r="E219" s="120"/>
      <c r="G219" s="101"/>
      <c r="H219" s="427">
        <f>H216*C219</f>
        <v>103516.52249999999</v>
      </c>
      <c r="I219" s="427"/>
      <c r="J219" s="427">
        <f>J216*C219</f>
        <v>115800.70995606</v>
      </c>
      <c r="K219" s="427"/>
      <c r="L219" s="427">
        <f>H219+J219</f>
        <v>219317.23245606001</v>
      </c>
      <c r="M219" s="427"/>
      <c r="N219" s="3"/>
      <c r="O219" s="3"/>
      <c r="P219" s="3"/>
    </row>
    <row r="220" spans="1:16" x14ac:dyDescent="0.25">
      <c r="B220" s="111" t="s">
        <v>173</v>
      </c>
      <c r="C220" s="121">
        <v>0.1</v>
      </c>
      <c r="D220" s="120">
        <f>C220*D216</f>
        <v>996459.52752020024</v>
      </c>
      <c r="E220" s="120"/>
      <c r="G220" s="101"/>
      <c r="H220" s="427">
        <f>H216*C220</f>
        <v>345055.07500000001</v>
      </c>
      <c r="I220" s="427"/>
      <c r="J220" s="427">
        <f>J216*C220</f>
        <v>386002.36652020004</v>
      </c>
      <c r="K220" s="427"/>
      <c r="L220" s="427">
        <f t="shared" ref="L220:L225" si="93">H220+J220</f>
        <v>731057.44152020011</v>
      </c>
      <c r="M220" s="427"/>
    </row>
    <row r="221" spans="1:16" x14ac:dyDescent="0.25">
      <c r="B221" s="111" t="s">
        <v>174</v>
      </c>
      <c r="C221" s="121">
        <v>0.18</v>
      </c>
      <c r="D221" s="120">
        <f>C221*D220</f>
        <v>179362.71495363602</v>
      </c>
      <c r="E221" s="120"/>
      <c r="G221" s="101"/>
      <c r="H221" s="427">
        <f>H220*C221</f>
        <v>62109.913500000002</v>
      </c>
      <c r="I221" s="427"/>
      <c r="J221" s="427">
        <f>J220*C221</f>
        <v>69480.425973636011</v>
      </c>
      <c r="K221" s="427"/>
      <c r="L221" s="427">
        <f t="shared" si="93"/>
        <v>131590.33947363601</v>
      </c>
      <c r="M221" s="427"/>
    </row>
    <row r="222" spans="1:16" x14ac:dyDescent="0.25">
      <c r="B222" s="111" t="s">
        <v>175</v>
      </c>
      <c r="C222" s="122">
        <v>0.03</v>
      </c>
      <c r="D222" s="120">
        <f>C222*D216</f>
        <v>298937.85825606005</v>
      </c>
      <c r="E222" s="120"/>
      <c r="G222" s="101"/>
      <c r="H222" s="427">
        <f>H216*C222</f>
        <v>103516.52249999999</v>
      </c>
      <c r="I222" s="427"/>
      <c r="J222" s="427">
        <f>J216*C222</f>
        <v>115800.70995606</v>
      </c>
      <c r="K222" s="427"/>
      <c r="L222" s="427">
        <f t="shared" si="93"/>
        <v>219317.23245606001</v>
      </c>
      <c r="M222" s="427"/>
    </row>
    <row r="223" spans="1:16" x14ac:dyDescent="0.25">
      <c r="B223" s="111" t="s">
        <v>176</v>
      </c>
      <c r="C223" s="117">
        <v>0.02</v>
      </c>
      <c r="D223" s="120">
        <f>C223*D216</f>
        <v>199291.90550404004</v>
      </c>
      <c r="E223" s="120"/>
      <c r="G223" s="101"/>
      <c r="H223" s="427">
        <f>H216*C223</f>
        <v>69011.014999999999</v>
      </c>
      <c r="I223" s="427"/>
      <c r="J223" s="427">
        <f>J216*C223</f>
        <v>77200.473304040002</v>
      </c>
      <c r="K223" s="427"/>
      <c r="L223" s="427">
        <f t="shared" si="93"/>
        <v>146211.48830403999</v>
      </c>
      <c r="M223" s="427"/>
    </row>
    <row r="224" spans="1:16" x14ac:dyDescent="0.25">
      <c r="B224" s="111"/>
      <c r="C224" s="121">
        <v>0.01</v>
      </c>
      <c r="D224" s="120">
        <f>C224*D216</f>
        <v>99645.952752020021</v>
      </c>
      <c r="E224" s="120"/>
      <c r="G224" s="101"/>
      <c r="H224" s="427">
        <f>H216*C224</f>
        <v>34505.5075</v>
      </c>
      <c r="I224" s="427"/>
      <c r="J224" s="427">
        <f>J216*C224</f>
        <v>38600.236652020001</v>
      </c>
      <c r="K224" s="427"/>
      <c r="L224" s="427">
        <f t="shared" si="93"/>
        <v>73105.744152019994</v>
      </c>
      <c r="M224" s="427"/>
    </row>
    <row r="225" spans="2:13" x14ac:dyDescent="0.25">
      <c r="B225" s="111" t="s">
        <v>177</v>
      </c>
      <c r="C225" s="117">
        <v>1E-3</v>
      </c>
      <c r="D225" s="120">
        <f>C225*D216</f>
        <v>9964.5952752020021</v>
      </c>
      <c r="E225" s="120"/>
      <c r="G225" s="101"/>
      <c r="H225" s="427">
        <f>H216*C225</f>
        <v>3450.5507499999999</v>
      </c>
      <c r="I225" s="427"/>
      <c r="J225" s="427">
        <f>J216*C225</f>
        <v>3860.0236652020003</v>
      </c>
      <c r="K225" s="427"/>
      <c r="L225" s="427">
        <f t="shared" si="93"/>
        <v>7310.5744152019997</v>
      </c>
      <c r="M225" s="427"/>
    </row>
    <row r="226" spans="2:13" x14ac:dyDescent="0.25">
      <c r="B226" s="10"/>
      <c r="C226" s="121"/>
      <c r="D226" s="120"/>
      <c r="E226" s="120"/>
      <c r="G226" s="101"/>
      <c r="J226" s="123"/>
      <c r="K226" s="123"/>
      <c r="L226" s="429"/>
      <c r="M226" s="429"/>
    </row>
    <row r="227" spans="2:13" x14ac:dyDescent="0.25">
      <c r="B227" s="124" t="s">
        <v>178</v>
      </c>
      <c r="C227" s="1"/>
      <c r="D227" s="120">
        <f>SUM(D219:E226)</f>
        <v>2082600.4125172184</v>
      </c>
      <c r="E227" s="120"/>
      <c r="G227" s="101"/>
      <c r="H227" s="427">
        <f t="shared" ref="H227" si="94">SUM(H219:I226)</f>
        <v>721165.10675000004</v>
      </c>
      <c r="I227" s="427"/>
      <c r="J227" s="427">
        <f>SUM(J219:K225)</f>
        <v>806744.94602721813</v>
      </c>
      <c r="K227" s="427"/>
      <c r="L227" s="427">
        <f>H227+J227</f>
        <v>1527910.0527772182</v>
      </c>
      <c r="M227" s="427"/>
    </row>
    <row r="228" spans="2:13" x14ac:dyDescent="0.25">
      <c r="B228" s="125"/>
      <c r="C228" s="126"/>
      <c r="D228" s="120"/>
      <c r="E228" s="120"/>
      <c r="G228" s="101"/>
      <c r="J228" s="127"/>
      <c r="K228" s="127"/>
      <c r="L228" s="430"/>
      <c r="M228" s="430"/>
    </row>
    <row r="229" spans="2:13" x14ac:dyDescent="0.25">
      <c r="B229" s="10" t="s">
        <v>179</v>
      </c>
      <c r="C229" s="129"/>
      <c r="D229" s="120">
        <f>D216+D227+D228</f>
        <v>12047195.68771922</v>
      </c>
      <c r="E229" s="120"/>
      <c r="G229" s="101"/>
      <c r="J229" s="128"/>
      <c r="K229" s="128"/>
      <c r="L229" s="127"/>
      <c r="M229" s="127"/>
    </row>
    <row r="230" spans="2:13" x14ac:dyDescent="0.25">
      <c r="B230" s="10"/>
      <c r="C230" s="121"/>
      <c r="D230" s="118"/>
      <c r="E230" s="118"/>
      <c r="G230" s="101"/>
      <c r="J230" s="127"/>
      <c r="K230" s="127"/>
      <c r="L230" s="127"/>
      <c r="M230" s="127"/>
    </row>
    <row r="231" spans="2:13" x14ac:dyDescent="0.25">
      <c r="B231" s="130" t="s">
        <v>180</v>
      </c>
      <c r="C231" s="131"/>
      <c r="D231" s="9"/>
      <c r="G231" s="101"/>
      <c r="H231" s="431">
        <f>H216+H227</f>
        <v>4171715.8567500003</v>
      </c>
      <c r="I231" s="431"/>
      <c r="J231" s="431">
        <f>J216+J227</f>
        <v>4666768.6112292185</v>
      </c>
      <c r="K231" s="431"/>
      <c r="L231" s="431">
        <f>H231+J231</f>
        <v>8838484.4679792188</v>
      </c>
      <c r="M231" s="431"/>
    </row>
    <row r="232" spans="2:13" x14ac:dyDescent="0.25">
      <c r="B232" s="132" t="s">
        <v>181</v>
      </c>
      <c r="C232" s="121"/>
      <c r="G232" s="101"/>
      <c r="J232" s="127"/>
      <c r="K232" s="133"/>
      <c r="L232" s="127"/>
      <c r="M232" s="127"/>
    </row>
    <row r="233" spans="2:13" x14ac:dyDescent="0.25">
      <c r="B233" s="8" t="s">
        <v>182</v>
      </c>
      <c r="C233" s="9"/>
      <c r="D233" s="134">
        <v>0.2</v>
      </c>
      <c r="G233" s="101"/>
      <c r="H233" s="426">
        <f>H231*0.2</f>
        <v>834343.17135000008</v>
      </c>
      <c r="I233" s="426"/>
      <c r="J233" s="427">
        <f>J231*0.2</f>
        <v>933353.72224584373</v>
      </c>
      <c r="K233" s="427"/>
      <c r="L233" s="427">
        <f t="shared" ref="L233" si="95">H233+J233</f>
        <v>1767696.8935958438</v>
      </c>
      <c r="M233" s="427"/>
    </row>
    <row r="234" spans="2:13" x14ac:dyDescent="0.25">
      <c r="G234" s="101"/>
    </row>
    <row r="235" spans="2:13" x14ac:dyDescent="0.25">
      <c r="G235" s="101"/>
    </row>
    <row r="236" spans="2:13" x14ac:dyDescent="0.25">
      <c r="B236" s="8" t="s">
        <v>183</v>
      </c>
      <c r="C236" s="9"/>
      <c r="D236" s="9"/>
      <c r="G236" s="101"/>
      <c r="H236" s="428">
        <f>H231-H233</f>
        <v>3337372.6854000003</v>
      </c>
      <c r="I236" s="428"/>
      <c r="J236" s="428">
        <f>J231-J233</f>
        <v>3733414.8889833749</v>
      </c>
      <c r="K236" s="428"/>
      <c r="L236" s="427">
        <f t="shared" ref="L236" si="96">H236+J236</f>
        <v>7070787.5743833752</v>
      </c>
      <c r="M236" s="427"/>
    </row>
    <row r="237" spans="2:13" x14ac:dyDescent="0.25">
      <c r="B237" s="8"/>
      <c r="C237" s="9"/>
      <c r="D237" s="9"/>
      <c r="G237" s="101"/>
      <c r="J237" s="115"/>
      <c r="K237" s="115"/>
      <c r="L237" s="115"/>
      <c r="M237" s="115"/>
    </row>
    <row r="238" spans="2:13" x14ac:dyDescent="0.25">
      <c r="B238" s="8"/>
      <c r="C238" s="9"/>
      <c r="D238" s="9"/>
      <c r="G238" s="101"/>
      <c r="J238" s="115"/>
      <c r="K238" s="115"/>
      <c r="L238" s="115"/>
      <c r="M238" s="115"/>
    </row>
    <row r="239" spans="2:13" x14ac:dyDescent="0.25">
      <c r="G239" s="101"/>
    </row>
    <row r="240" spans="2:13" x14ac:dyDescent="0.25">
      <c r="G240" s="101"/>
      <c r="H240" s="101"/>
      <c r="I240" s="102"/>
    </row>
    <row r="241" spans="1:17" x14ac:dyDescent="0.25">
      <c r="A241" s="135"/>
      <c r="B241" s="1" t="s">
        <v>184</v>
      </c>
      <c r="C241" s="1"/>
      <c r="D241" s="1"/>
      <c r="F241" s="111" t="s">
        <v>11</v>
      </c>
      <c r="G241" s="111"/>
      <c r="H241" s="111"/>
      <c r="I241" s="111"/>
      <c r="J241" s="421" t="s">
        <v>185</v>
      </c>
      <c r="K241" s="421"/>
      <c r="L241" s="421"/>
      <c r="M241" s="421"/>
      <c r="N241" s="10"/>
    </row>
    <row r="242" spans="1:17" x14ac:dyDescent="0.25">
      <c r="A242" s="136"/>
      <c r="B242" s="1"/>
    </row>
    <row r="243" spans="1:17" ht="15" customHeight="1" x14ac:dyDescent="0.25">
      <c r="A243" s="135"/>
      <c r="B243" s="1" t="s">
        <v>186</v>
      </c>
      <c r="C243" s="1"/>
      <c r="D243" s="1"/>
      <c r="E243" s="423" t="s">
        <v>187</v>
      </c>
      <c r="F243" s="423"/>
      <c r="G243" s="423"/>
      <c r="H243" s="137"/>
      <c r="I243" s="137"/>
      <c r="J243" s="424" t="s">
        <v>188</v>
      </c>
      <c r="K243" s="424"/>
      <c r="L243" s="424"/>
      <c r="M243" s="424"/>
      <c r="N243" s="138"/>
    </row>
    <row r="244" spans="1:17" x14ac:dyDescent="0.25">
      <c r="A244" s="135"/>
      <c r="B244" s="1" t="s">
        <v>189</v>
      </c>
      <c r="C244" s="1"/>
      <c r="D244" s="1"/>
      <c r="E244" s="425" t="s">
        <v>12</v>
      </c>
      <c r="F244" s="425"/>
      <c r="G244" s="425"/>
      <c r="H244" s="111"/>
      <c r="I244" s="111"/>
      <c r="J244" s="421" t="s">
        <v>190</v>
      </c>
      <c r="K244" s="421"/>
      <c r="L244" s="421"/>
      <c r="M244" s="421"/>
      <c r="N244" s="10"/>
    </row>
    <row r="245" spans="1:17" x14ac:dyDescent="0.25">
      <c r="Q245" s="140"/>
    </row>
    <row r="247" spans="1:17" x14ac:dyDescent="0.25">
      <c r="G247" s="101"/>
      <c r="H247" s="101"/>
      <c r="I247" s="102"/>
    </row>
    <row r="248" spans="1:17" x14ac:dyDescent="0.25">
      <c r="G248" s="101"/>
      <c r="H248" s="101"/>
      <c r="I248" s="102"/>
      <c r="L248" s="111"/>
      <c r="M248" s="111"/>
      <c r="N248" s="111"/>
      <c r="O248" s="421"/>
      <c r="P248" s="421"/>
      <c r="Q248" s="421"/>
    </row>
    <row r="249" spans="1:17" x14ac:dyDescent="0.25">
      <c r="G249" s="101"/>
      <c r="H249" s="101"/>
      <c r="I249" s="102"/>
      <c r="J249" s="421"/>
      <c r="K249" s="421"/>
      <c r="L249" s="421"/>
      <c r="M249" s="421"/>
      <c r="N249" s="421"/>
      <c r="O249" s="421"/>
      <c r="P249" s="421"/>
    </row>
    <row r="250" spans="1:17" x14ac:dyDescent="0.25">
      <c r="G250" s="101"/>
      <c r="H250" s="101"/>
      <c r="I250" s="102"/>
      <c r="J250" s="422"/>
      <c r="K250" s="422"/>
      <c r="L250" s="422"/>
      <c r="M250" s="422"/>
      <c r="N250" s="422"/>
      <c r="O250" s="138"/>
      <c r="P250" s="138"/>
      <c r="Q250" s="138"/>
    </row>
    <row r="251" spans="1:17" x14ac:dyDescent="0.25">
      <c r="G251" s="101"/>
      <c r="H251" s="101"/>
      <c r="I251" s="102"/>
      <c r="J251" s="142"/>
      <c r="K251" s="142"/>
      <c r="L251" s="142"/>
      <c r="M251" s="142"/>
      <c r="N251" s="421"/>
      <c r="O251" s="421"/>
      <c r="P251" s="421"/>
      <c r="Q251" s="421"/>
    </row>
    <row r="252" spans="1:17" x14ac:dyDescent="0.25">
      <c r="G252" s="101"/>
      <c r="H252" s="101"/>
      <c r="I252" s="102"/>
    </row>
    <row r="253" spans="1:17" x14ac:dyDescent="0.25">
      <c r="G253" s="101"/>
      <c r="H253" s="101"/>
      <c r="I253" s="101"/>
    </row>
    <row r="254" spans="1:17" x14ac:dyDescent="0.25">
      <c r="G254" s="101"/>
      <c r="H254" s="101"/>
      <c r="I254" s="101"/>
    </row>
    <row r="269" spans="7:14" x14ac:dyDescent="0.25">
      <c r="G269" s="1"/>
      <c r="H269" s="1"/>
      <c r="I269" s="1"/>
      <c r="J269" s="1"/>
      <c r="K269" s="1"/>
      <c r="L269" s="1"/>
      <c r="M269" s="1"/>
      <c r="N269" s="1"/>
    </row>
    <row r="270" spans="7:14" x14ac:dyDescent="0.25">
      <c r="G270" s="2"/>
      <c r="H270" s="2"/>
      <c r="I270" s="2"/>
      <c r="J270" s="2"/>
      <c r="K270" s="2"/>
      <c r="L270" s="2"/>
      <c r="M270" s="2"/>
      <c r="N270" s="2"/>
    </row>
  </sheetData>
  <mergeCells count="60">
    <mergeCell ref="A1:M1"/>
    <mergeCell ref="A2:M2"/>
    <mergeCell ref="C4:F4"/>
    <mergeCell ref="A8:F8"/>
    <mergeCell ref="G8:J8"/>
    <mergeCell ref="K8:M8"/>
    <mergeCell ref="A206:L207"/>
    <mergeCell ref="B208:L208"/>
    <mergeCell ref="C210:F210"/>
    <mergeCell ref="H215:I215"/>
    <mergeCell ref="J215:K215"/>
    <mergeCell ref="L215:M215"/>
    <mergeCell ref="H216:I216"/>
    <mergeCell ref="J216:K216"/>
    <mergeCell ref="L216:M216"/>
    <mergeCell ref="H219:I219"/>
    <mergeCell ref="J219:K219"/>
    <mergeCell ref="L219:M219"/>
    <mergeCell ref="H220:I220"/>
    <mergeCell ref="J220:K220"/>
    <mergeCell ref="L220:M220"/>
    <mergeCell ref="H221:I221"/>
    <mergeCell ref="J221:K221"/>
    <mergeCell ref="L221:M221"/>
    <mergeCell ref="H222:I222"/>
    <mergeCell ref="J222:K222"/>
    <mergeCell ref="L222:M222"/>
    <mergeCell ref="H223:I223"/>
    <mergeCell ref="J223:K223"/>
    <mergeCell ref="L223:M223"/>
    <mergeCell ref="H231:I231"/>
    <mergeCell ref="J231:K231"/>
    <mergeCell ref="L231:M231"/>
    <mergeCell ref="H224:I224"/>
    <mergeCell ref="J224:K224"/>
    <mergeCell ref="L224:M224"/>
    <mergeCell ref="H225:I225"/>
    <mergeCell ref="J225:K225"/>
    <mergeCell ref="L225:M225"/>
    <mergeCell ref="L226:M226"/>
    <mergeCell ref="H227:I227"/>
    <mergeCell ref="J227:K227"/>
    <mergeCell ref="L227:M227"/>
    <mergeCell ref="L228:M228"/>
    <mergeCell ref="H233:I233"/>
    <mergeCell ref="J233:K233"/>
    <mergeCell ref="L233:M233"/>
    <mergeCell ref="H236:I236"/>
    <mergeCell ref="J236:K236"/>
    <mergeCell ref="L236:M236"/>
    <mergeCell ref="E243:G243"/>
    <mergeCell ref="J243:M243"/>
    <mergeCell ref="E244:G244"/>
    <mergeCell ref="J244:M244"/>
    <mergeCell ref="O248:Q248"/>
    <mergeCell ref="J249:M249"/>
    <mergeCell ref="N249:P249"/>
    <mergeCell ref="J250:N250"/>
    <mergeCell ref="N251:Q251"/>
    <mergeCell ref="J241:M24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A357C-72D6-48AF-9EE3-D9F01A18F533}">
  <dimension ref="A1"/>
  <sheetViews>
    <sheetView workbookViewId="0">
      <selection activeCell="G17" sqref="G17"/>
    </sheetView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CBE9F-F5EA-46ED-99E3-23EE1C222187}">
  <dimension ref="A1"/>
  <sheetViews>
    <sheetView workbookViewId="0">
      <selection activeCell="G13" sqref="G13"/>
    </sheetView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88FDE-50E7-4B7A-9167-8F203852DAB1}">
  <dimension ref="A2:N121"/>
  <sheetViews>
    <sheetView topLeftCell="A142" workbookViewId="0">
      <selection activeCell="E154" sqref="E154"/>
    </sheetView>
  </sheetViews>
  <sheetFormatPr baseColWidth="10" defaultRowHeight="15" x14ac:dyDescent="0.25"/>
  <cols>
    <col min="2" max="2" width="35.42578125" bestFit="1" customWidth="1"/>
    <col min="4" max="4" width="11.140625" bestFit="1" customWidth="1"/>
    <col min="5" max="5" width="18.140625" customWidth="1"/>
    <col min="6" max="6" width="19.140625" customWidth="1"/>
    <col min="7" max="7" width="12.85546875" bestFit="1" customWidth="1"/>
    <col min="8" max="8" width="10.140625" bestFit="1" customWidth="1"/>
    <col min="9" max="9" width="11.85546875" bestFit="1" customWidth="1"/>
    <col min="13" max="13" width="19.42578125" customWidth="1"/>
    <col min="14" max="14" width="16.85546875" bestFit="1" customWidth="1"/>
  </cols>
  <sheetData>
    <row r="2" spans="1:13" x14ac:dyDescent="0.25">
      <c r="A2" s="455" t="s">
        <v>0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7"/>
    </row>
    <row r="3" spans="1:13" x14ac:dyDescent="0.25">
      <c r="A3" s="458" t="s">
        <v>1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59"/>
    </row>
    <row r="4" spans="1:13" x14ac:dyDescent="0.25">
      <c r="A4" s="143"/>
      <c r="C4" s="2"/>
      <c r="D4" s="2"/>
      <c r="E4" s="2"/>
      <c r="F4" s="2"/>
      <c r="G4" s="2"/>
      <c r="H4" s="2"/>
      <c r="I4" s="2"/>
      <c r="J4" s="2"/>
      <c r="K4" s="2"/>
      <c r="L4" s="2"/>
      <c r="M4" s="144" t="s">
        <v>191</v>
      </c>
    </row>
    <row r="5" spans="1:13" x14ac:dyDescent="0.25">
      <c r="A5" s="145"/>
      <c r="B5" s="4" t="s">
        <v>2</v>
      </c>
      <c r="C5" s="435" t="s">
        <v>192</v>
      </c>
      <c r="D5" s="435"/>
      <c r="E5" s="435"/>
      <c r="F5" s="435"/>
      <c r="G5" s="435"/>
      <c r="H5" s="435"/>
      <c r="I5" s="435"/>
      <c r="J5" s="3"/>
      <c r="K5" s="3"/>
      <c r="L5" s="4" t="s">
        <v>193</v>
      </c>
      <c r="M5" s="7">
        <v>21044668.350000001</v>
      </c>
    </row>
    <row r="6" spans="1:13" x14ac:dyDescent="0.25">
      <c r="A6" s="145"/>
      <c r="B6" s="4" t="s">
        <v>5</v>
      </c>
      <c r="C6" s="8">
        <v>4</v>
      </c>
      <c r="D6" s="3"/>
      <c r="E6" s="10"/>
      <c r="F6" s="10"/>
      <c r="G6" s="10"/>
      <c r="H6" s="3"/>
      <c r="I6" s="3"/>
      <c r="J6" s="3"/>
      <c r="K6" s="3"/>
      <c r="L6" s="4" t="s">
        <v>6</v>
      </c>
      <c r="M6" s="146">
        <v>2645359.2999999998</v>
      </c>
    </row>
    <row r="7" spans="1:13" x14ac:dyDescent="0.25">
      <c r="A7" s="145"/>
      <c r="B7" s="4" t="s">
        <v>7</v>
      </c>
      <c r="C7" s="10" t="s">
        <v>194</v>
      </c>
      <c r="D7" s="10"/>
      <c r="E7" s="10"/>
      <c r="F7" s="10" t="s">
        <v>170</v>
      </c>
      <c r="G7" s="11"/>
      <c r="H7" s="3"/>
      <c r="I7" s="3"/>
      <c r="J7" s="3"/>
      <c r="K7" s="3"/>
      <c r="L7" s="4" t="s">
        <v>9</v>
      </c>
      <c r="M7" s="147" t="s">
        <v>195</v>
      </c>
    </row>
    <row r="8" spans="1:13" x14ac:dyDescent="0.25">
      <c r="A8" s="145"/>
      <c r="B8" s="4" t="s">
        <v>11</v>
      </c>
      <c r="C8" s="10" t="s">
        <v>196</v>
      </c>
      <c r="D8" s="10"/>
      <c r="E8" s="10"/>
      <c r="F8" s="10"/>
      <c r="H8" s="3"/>
      <c r="I8" s="3"/>
      <c r="J8" s="3"/>
      <c r="K8" s="3"/>
      <c r="L8" s="3"/>
      <c r="M8" s="148"/>
    </row>
    <row r="9" spans="1:13" x14ac:dyDescent="0.25">
      <c r="A9" s="460" t="s">
        <v>197</v>
      </c>
      <c r="B9" s="460"/>
      <c r="C9" s="460"/>
      <c r="D9" s="460"/>
      <c r="E9" s="460"/>
      <c r="F9" s="460"/>
      <c r="G9" s="461" t="s">
        <v>14</v>
      </c>
      <c r="H9" s="461"/>
      <c r="I9" s="461"/>
      <c r="J9" s="461"/>
      <c r="K9" s="437" t="s">
        <v>15</v>
      </c>
      <c r="L9" s="437"/>
      <c r="M9" s="437"/>
    </row>
    <row r="10" spans="1:13" x14ac:dyDescent="0.25">
      <c r="A10" s="149" t="s">
        <v>16</v>
      </c>
      <c r="B10" s="150" t="s">
        <v>17</v>
      </c>
      <c r="C10" s="150" t="s">
        <v>18</v>
      </c>
      <c r="D10" s="150" t="s">
        <v>198</v>
      </c>
      <c r="E10" s="151" t="s">
        <v>20</v>
      </c>
      <c r="F10" s="151" t="s">
        <v>21</v>
      </c>
      <c r="G10" s="152" t="s">
        <v>22</v>
      </c>
      <c r="H10" s="152" t="s">
        <v>23</v>
      </c>
      <c r="I10" s="153" t="s">
        <v>24</v>
      </c>
      <c r="J10" s="154" t="s">
        <v>25</v>
      </c>
      <c r="K10" s="150" t="s">
        <v>22</v>
      </c>
      <c r="L10" s="151" t="s">
        <v>23</v>
      </c>
      <c r="M10" s="151" t="s">
        <v>24</v>
      </c>
    </row>
    <row r="11" spans="1:13" x14ac:dyDescent="0.25">
      <c r="A11" s="155">
        <v>1</v>
      </c>
      <c r="B11" s="156" t="s">
        <v>199</v>
      </c>
      <c r="C11" s="157"/>
      <c r="D11" s="157"/>
      <c r="E11" s="158"/>
      <c r="F11" s="158"/>
      <c r="G11" s="152"/>
      <c r="H11" s="152"/>
      <c r="I11" s="153"/>
      <c r="J11" s="154"/>
      <c r="K11" s="50"/>
      <c r="L11" s="85"/>
      <c r="M11" s="85"/>
    </row>
    <row r="12" spans="1:13" x14ac:dyDescent="0.25">
      <c r="A12" s="159">
        <f>A11+0.01</f>
        <v>1.01</v>
      </c>
      <c r="B12" s="160" t="s">
        <v>200</v>
      </c>
      <c r="C12" s="161" t="s">
        <v>201</v>
      </c>
      <c r="D12" s="162">
        <v>2</v>
      </c>
      <c r="E12" s="163">
        <v>30000</v>
      </c>
      <c r="F12" s="164">
        <f>D12*E12</f>
        <v>60000</v>
      </c>
      <c r="G12" s="165">
        <v>2</v>
      </c>
      <c r="H12" s="165"/>
      <c r="I12" s="166">
        <f t="shared" ref="I12:I13" si="0">G12+H12</f>
        <v>2</v>
      </c>
      <c r="J12" s="167">
        <f t="shared" ref="J12:J13" si="1">I12/D12</f>
        <v>1</v>
      </c>
      <c r="K12" s="168">
        <f>G12*E12</f>
        <v>60000</v>
      </c>
      <c r="L12" s="85"/>
      <c r="M12" s="169">
        <f t="shared" ref="M12:M16" si="2">K12+L12</f>
        <v>60000</v>
      </c>
    </row>
    <row r="13" spans="1:13" x14ac:dyDescent="0.25">
      <c r="A13" s="159">
        <f t="shared" ref="A13:A16" si="3">A12+0.01</f>
        <v>1.02</v>
      </c>
      <c r="B13" s="160" t="s">
        <v>202</v>
      </c>
      <c r="C13" s="161" t="s">
        <v>203</v>
      </c>
      <c r="D13" s="162">
        <v>1156</v>
      </c>
      <c r="E13" s="163">
        <v>38.92</v>
      </c>
      <c r="F13" s="164">
        <f t="shared" ref="F13:F15" si="4">D13*E13</f>
        <v>44991.520000000004</v>
      </c>
      <c r="G13" s="165">
        <v>1156</v>
      </c>
      <c r="H13" s="165"/>
      <c r="I13" s="166">
        <f t="shared" si="0"/>
        <v>1156</v>
      </c>
      <c r="J13" s="167">
        <f t="shared" si="1"/>
        <v>1</v>
      </c>
      <c r="K13" s="168">
        <f>G13*E13</f>
        <v>44991.520000000004</v>
      </c>
      <c r="L13" s="81">
        <f>H13*E13</f>
        <v>0</v>
      </c>
      <c r="M13" s="169">
        <f t="shared" si="2"/>
        <v>44991.520000000004</v>
      </c>
    </row>
    <row r="14" spans="1:13" x14ac:dyDescent="0.25">
      <c r="A14" s="159">
        <f t="shared" si="3"/>
        <v>1.03</v>
      </c>
      <c r="B14" s="160" t="s">
        <v>204</v>
      </c>
      <c r="C14" s="161" t="s">
        <v>203</v>
      </c>
      <c r="D14" s="162">
        <v>750</v>
      </c>
      <c r="E14" s="163">
        <v>120</v>
      </c>
      <c r="F14" s="164">
        <f t="shared" si="4"/>
        <v>90000</v>
      </c>
      <c r="G14" s="165">
        <v>750</v>
      </c>
      <c r="H14" s="165"/>
      <c r="I14" s="166">
        <f>G14+H14</f>
        <v>750</v>
      </c>
      <c r="J14" s="167">
        <f>I14/D14</f>
        <v>1</v>
      </c>
      <c r="K14" s="168">
        <f>G14*E14</f>
        <v>90000</v>
      </c>
      <c r="L14" s="81">
        <f>H14*E14</f>
        <v>0</v>
      </c>
      <c r="M14" s="169">
        <f t="shared" si="2"/>
        <v>90000</v>
      </c>
    </row>
    <row r="15" spans="1:13" x14ac:dyDescent="0.25">
      <c r="A15" s="159">
        <f t="shared" si="3"/>
        <v>1.04</v>
      </c>
      <c r="B15" s="160" t="s">
        <v>205</v>
      </c>
      <c r="C15" s="161" t="s">
        <v>203</v>
      </c>
      <c r="D15" s="162">
        <v>1156</v>
      </c>
      <c r="E15" s="163">
        <v>76.069999999999993</v>
      </c>
      <c r="F15" s="164">
        <f t="shared" si="4"/>
        <v>87936.92</v>
      </c>
      <c r="G15" s="170">
        <v>1156</v>
      </c>
      <c r="H15" s="170"/>
      <c r="I15" s="171">
        <f>G15+H15</f>
        <v>1156</v>
      </c>
      <c r="J15" s="167">
        <f>I15/D15</f>
        <v>1</v>
      </c>
      <c r="K15" s="168">
        <f>G15*E15</f>
        <v>87936.92</v>
      </c>
      <c r="L15" s="81">
        <f>H15*E15</f>
        <v>0</v>
      </c>
      <c r="M15" s="169">
        <f t="shared" si="2"/>
        <v>87936.92</v>
      </c>
    </row>
    <row r="16" spans="1:13" x14ac:dyDescent="0.25">
      <c r="A16" s="159">
        <f t="shared" si="3"/>
        <v>1.05</v>
      </c>
      <c r="B16" s="172" t="s">
        <v>206</v>
      </c>
      <c r="C16" s="157"/>
      <c r="D16" s="173"/>
      <c r="E16" s="158"/>
      <c r="F16" s="158">
        <f>SUM(F12:F15)</f>
        <v>282928.44</v>
      </c>
      <c r="G16" s="165"/>
      <c r="H16" s="165"/>
      <c r="I16" s="174"/>
      <c r="J16" s="175"/>
      <c r="K16" s="176">
        <f>SUM(K12:K15)</f>
        <v>282928.44</v>
      </c>
      <c r="L16" s="85"/>
      <c r="M16" s="169">
        <f t="shared" si="2"/>
        <v>282928.44</v>
      </c>
    </row>
    <row r="17" spans="1:13" x14ac:dyDescent="0.25">
      <c r="A17" s="155">
        <v>2</v>
      </c>
      <c r="B17" s="156" t="s">
        <v>207</v>
      </c>
      <c r="C17" s="157"/>
      <c r="D17" s="173"/>
      <c r="E17" s="158"/>
      <c r="F17" s="158"/>
      <c r="G17" s="165"/>
      <c r="H17" s="165"/>
      <c r="I17" s="174"/>
      <c r="J17" s="175"/>
      <c r="K17" s="26"/>
      <c r="L17" s="85"/>
      <c r="M17" s="85"/>
    </row>
    <row r="18" spans="1:13" x14ac:dyDescent="0.25">
      <c r="A18" s="159">
        <f>A17+0.01</f>
        <v>2.0099999999999998</v>
      </c>
      <c r="B18" s="160" t="s">
        <v>208</v>
      </c>
      <c r="C18" s="161" t="s">
        <v>201</v>
      </c>
      <c r="D18" s="162">
        <v>3</v>
      </c>
      <c r="E18" s="163">
        <v>739860</v>
      </c>
      <c r="F18" s="164">
        <f t="shared" ref="F18" si="5">D18*E18</f>
        <v>2219580</v>
      </c>
      <c r="G18" s="165">
        <v>3</v>
      </c>
      <c r="H18" s="165"/>
      <c r="I18" s="171">
        <f>G18+H18</f>
        <v>3</v>
      </c>
      <c r="J18" s="167">
        <f>I18/D18</f>
        <v>1</v>
      </c>
      <c r="K18" s="168">
        <f>G18*E18</f>
        <v>2219580</v>
      </c>
      <c r="L18" s="81">
        <f>H18*E18</f>
        <v>0</v>
      </c>
      <c r="M18" s="169">
        <f t="shared" ref="M18:M19" si="6">K18+L18</f>
        <v>2219580</v>
      </c>
    </row>
    <row r="19" spans="1:13" x14ac:dyDescent="0.25">
      <c r="A19" s="159"/>
      <c r="B19" s="172" t="s">
        <v>206</v>
      </c>
      <c r="C19" s="161"/>
      <c r="D19" s="162"/>
      <c r="E19" s="163"/>
      <c r="F19" s="177">
        <f>SUM(F18)</f>
        <v>2219580</v>
      </c>
      <c r="G19" s="165"/>
      <c r="H19" s="165"/>
      <c r="I19" s="174"/>
      <c r="J19" s="175"/>
      <c r="K19" s="176">
        <f>SUM(K18)</f>
        <v>2219580</v>
      </c>
      <c r="L19" s="85">
        <f>SUM(L18)</f>
        <v>0</v>
      </c>
      <c r="M19" s="178">
        <f t="shared" si="6"/>
        <v>2219580</v>
      </c>
    </row>
    <row r="20" spans="1:13" x14ac:dyDescent="0.25">
      <c r="A20" s="155">
        <v>3</v>
      </c>
      <c r="B20" s="156" t="s">
        <v>209</v>
      </c>
      <c r="C20" s="161"/>
      <c r="D20" s="162"/>
      <c r="E20" s="163"/>
      <c r="F20" s="164"/>
      <c r="G20" s="165"/>
      <c r="H20" s="165"/>
      <c r="I20" s="174"/>
      <c r="J20" s="175"/>
      <c r="K20" s="26"/>
      <c r="L20" s="85"/>
      <c r="M20" s="85"/>
    </row>
    <row r="21" spans="1:13" x14ac:dyDescent="0.25">
      <c r="A21" s="159">
        <f>A20+0.01</f>
        <v>3.01</v>
      </c>
      <c r="B21" s="160" t="s">
        <v>210</v>
      </c>
      <c r="C21" s="161" t="s">
        <v>203</v>
      </c>
      <c r="D21" s="162">
        <v>1108.8</v>
      </c>
      <c r="E21" s="179">
        <v>9493.9639999999999</v>
      </c>
      <c r="F21" s="164">
        <f t="shared" ref="F21" si="7">D21*E21</f>
        <v>10526907.283199999</v>
      </c>
      <c r="G21" s="180">
        <v>988.46637899999996</v>
      </c>
      <c r="H21" s="165">
        <f>D21-G21</f>
        <v>120.33362099999999</v>
      </c>
      <c r="I21" s="171">
        <f>G21+H21</f>
        <v>1108.8</v>
      </c>
      <c r="J21" s="167">
        <f>I21/D21</f>
        <v>1</v>
      </c>
      <c r="K21" s="168">
        <f>G21*E21</f>
        <v>9384464.2174363565</v>
      </c>
      <c r="L21" s="81">
        <f>H21*E21</f>
        <v>1142443.0657636439</v>
      </c>
      <c r="M21" s="169">
        <f t="shared" ref="M21:M22" si="8">K21+L21</f>
        <v>10526907.283199999</v>
      </c>
    </row>
    <row r="22" spans="1:13" x14ac:dyDescent="0.25">
      <c r="A22" s="159"/>
      <c r="B22" s="172" t="s">
        <v>206</v>
      </c>
      <c r="C22" s="161"/>
      <c r="D22" s="162"/>
      <c r="E22" s="163"/>
      <c r="F22" s="177">
        <f>SUM(F21)</f>
        <v>10526907.283199999</v>
      </c>
      <c r="G22" s="165"/>
      <c r="H22" s="165"/>
      <c r="I22" s="174"/>
      <c r="J22" s="175"/>
      <c r="K22" s="176">
        <f>SUM(K21)</f>
        <v>9384464.2174363565</v>
      </c>
      <c r="L22" s="85">
        <f>SUM(L21)</f>
        <v>1142443.0657636439</v>
      </c>
      <c r="M22" s="178">
        <f t="shared" si="8"/>
        <v>10526907.283199999</v>
      </c>
    </row>
    <row r="23" spans="1:13" x14ac:dyDescent="0.25">
      <c r="A23" s="155">
        <v>4</v>
      </c>
      <c r="B23" s="156" t="s">
        <v>211</v>
      </c>
      <c r="C23" s="157"/>
      <c r="D23" s="157"/>
      <c r="E23" s="158"/>
      <c r="F23" s="158"/>
      <c r="G23" s="165"/>
      <c r="H23" s="165"/>
      <c r="I23" s="174"/>
      <c r="J23" s="175"/>
      <c r="K23" s="26"/>
      <c r="L23" s="85"/>
      <c r="M23" s="85"/>
    </row>
    <row r="24" spans="1:13" x14ac:dyDescent="0.25">
      <c r="A24" s="159">
        <f>A23+0.01</f>
        <v>4.01</v>
      </c>
      <c r="B24" s="160" t="s">
        <v>212</v>
      </c>
      <c r="C24" s="161" t="s">
        <v>203</v>
      </c>
      <c r="D24" s="181">
        <v>1056</v>
      </c>
      <c r="E24" s="163">
        <v>164.19</v>
      </c>
      <c r="F24" s="164">
        <f t="shared" ref="F24" si="9">D24*E24</f>
        <v>173384.63999999998</v>
      </c>
      <c r="G24" s="180">
        <v>997.69534599999997</v>
      </c>
      <c r="H24" s="165">
        <f>D24-G24</f>
        <v>58.304654000000028</v>
      </c>
      <c r="I24" s="171">
        <f>G24+H24</f>
        <v>1056</v>
      </c>
      <c r="J24" s="167">
        <f>I24/D24</f>
        <v>1</v>
      </c>
      <c r="K24" s="168">
        <f>G24*E24</f>
        <v>163811.59885973998</v>
      </c>
      <c r="L24" s="81">
        <f>H24*E24</f>
        <v>9573.0411402600039</v>
      </c>
      <c r="M24" s="169">
        <f t="shared" ref="M24:M25" si="10">K24+L24</f>
        <v>173384.63999999998</v>
      </c>
    </row>
    <row r="25" spans="1:13" x14ac:dyDescent="0.25">
      <c r="A25" s="159"/>
      <c r="B25" s="172" t="s">
        <v>206</v>
      </c>
      <c r="C25" s="157"/>
      <c r="D25" s="157"/>
      <c r="E25" s="158"/>
      <c r="F25" s="158">
        <f>SUM(F24)</f>
        <v>173384.63999999998</v>
      </c>
      <c r="G25" s="165"/>
      <c r="H25" s="165"/>
      <c r="I25" s="174"/>
      <c r="J25" s="175"/>
      <c r="K25" s="176">
        <f>SUM(K24)</f>
        <v>163811.59885973998</v>
      </c>
      <c r="L25" s="85">
        <f>SUM(L24)</f>
        <v>9573.0411402600039</v>
      </c>
      <c r="M25" s="178">
        <f t="shared" si="10"/>
        <v>173384.63999999998</v>
      </c>
    </row>
    <row r="26" spans="1:13" x14ac:dyDescent="0.25">
      <c r="A26" s="159"/>
      <c r="B26" s="172"/>
      <c r="C26" s="157"/>
      <c r="D26" s="157"/>
      <c r="E26" s="158"/>
      <c r="F26" s="158"/>
      <c r="G26" s="165"/>
      <c r="H26" s="165"/>
      <c r="I26" s="174"/>
      <c r="J26" s="175"/>
      <c r="K26" s="26"/>
      <c r="L26" s="85"/>
      <c r="M26" s="85"/>
    </row>
    <row r="27" spans="1:13" x14ac:dyDescent="0.25">
      <c r="A27" s="155">
        <v>5</v>
      </c>
      <c r="B27" s="182" t="s">
        <v>213</v>
      </c>
      <c r="C27" s="157"/>
      <c r="D27" s="157"/>
      <c r="E27" s="158"/>
      <c r="F27" s="158"/>
      <c r="G27" s="165"/>
      <c r="H27" s="165"/>
      <c r="I27" s="174"/>
      <c r="J27" s="175"/>
      <c r="K27" s="26"/>
      <c r="L27" s="85"/>
      <c r="M27" s="85"/>
    </row>
    <row r="28" spans="1:13" x14ac:dyDescent="0.25">
      <c r="A28" s="159">
        <f>A27+0.01</f>
        <v>5.01</v>
      </c>
      <c r="B28" s="183" t="s">
        <v>214</v>
      </c>
      <c r="C28" s="181" t="s">
        <v>38</v>
      </c>
      <c r="D28" s="184">
        <v>1077.1199999999999</v>
      </c>
      <c r="E28" s="163">
        <v>212.89</v>
      </c>
      <c r="F28" s="164">
        <f t="shared" ref="F28:F31" si="11">D28*E28</f>
        <v>229308.07679999995</v>
      </c>
      <c r="G28" s="185">
        <v>928.16236000000004</v>
      </c>
      <c r="H28" s="165">
        <f>D28-G28</f>
        <v>148.95763999999986</v>
      </c>
      <c r="I28" s="171">
        <f>G28+H28</f>
        <v>1077.1199999999999</v>
      </c>
      <c r="J28" s="167">
        <f>I28/D28</f>
        <v>1</v>
      </c>
      <c r="K28" s="168">
        <f>G28*E28</f>
        <v>197596.48482039999</v>
      </c>
      <c r="L28" s="81">
        <f>H28*E28</f>
        <v>31711.591979599969</v>
      </c>
      <c r="M28" s="169">
        <f t="shared" ref="M28:M39" si="12">K28+L28</f>
        <v>229308.07679999995</v>
      </c>
    </row>
    <row r="29" spans="1:13" x14ac:dyDescent="0.25">
      <c r="A29" s="159">
        <f t="shared" ref="A29:A31" si="13">A28+0.01</f>
        <v>5.0199999999999996</v>
      </c>
      <c r="B29" s="183" t="s">
        <v>215</v>
      </c>
      <c r="C29" s="181" t="s">
        <v>38</v>
      </c>
      <c r="D29" s="184">
        <v>85.679999999999993</v>
      </c>
      <c r="E29" s="163">
        <v>2281.48</v>
      </c>
      <c r="F29" s="164">
        <f t="shared" si="11"/>
        <v>195477.2064</v>
      </c>
      <c r="G29" s="165">
        <v>59.857560499999998</v>
      </c>
      <c r="H29" s="165">
        <f t="shared" ref="H29:H31" si="14">D29-G29</f>
        <v>25.822439499999994</v>
      </c>
      <c r="I29" s="171">
        <f>G29+H29</f>
        <v>85.679999999999993</v>
      </c>
      <c r="J29" s="167">
        <f>I29/D29</f>
        <v>1</v>
      </c>
      <c r="K29" s="168">
        <f>G29*E29</f>
        <v>136563.82712954</v>
      </c>
      <c r="L29" s="81">
        <f t="shared" ref="L29:L31" si="15">H29*E29</f>
        <v>58913.379270459991</v>
      </c>
      <c r="M29" s="169">
        <f t="shared" si="12"/>
        <v>195477.2064</v>
      </c>
    </row>
    <row r="30" spans="1:13" x14ac:dyDescent="0.25">
      <c r="A30" s="159">
        <f t="shared" si="13"/>
        <v>5.0299999999999994</v>
      </c>
      <c r="B30" s="160" t="s">
        <v>216</v>
      </c>
      <c r="C30" s="181" t="s">
        <v>38</v>
      </c>
      <c r="D30" s="184">
        <v>175.82759999999993</v>
      </c>
      <c r="E30" s="163">
        <v>268.02</v>
      </c>
      <c r="F30" s="164">
        <f t="shared" si="11"/>
        <v>47125.313351999976</v>
      </c>
      <c r="G30" s="180">
        <v>145.477912</v>
      </c>
      <c r="H30" s="165">
        <f t="shared" si="14"/>
        <v>30.349687999999929</v>
      </c>
      <c r="I30" s="171">
        <f>G30+H30</f>
        <v>175.82759999999993</v>
      </c>
      <c r="J30" s="167">
        <f>I30/D30</f>
        <v>1</v>
      </c>
      <c r="K30" s="168">
        <f>G30*E30</f>
        <v>38990.989974240001</v>
      </c>
      <c r="L30" s="81">
        <f t="shared" si="15"/>
        <v>8134.3233777599808</v>
      </c>
      <c r="M30" s="169">
        <f t="shared" si="12"/>
        <v>47125.313351999983</v>
      </c>
    </row>
    <row r="31" spans="1:13" x14ac:dyDescent="0.25">
      <c r="A31" s="159">
        <f t="shared" si="13"/>
        <v>5.0399999999999991</v>
      </c>
      <c r="B31" s="160" t="s">
        <v>217</v>
      </c>
      <c r="C31" s="181" t="s">
        <v>38</v>
      </c>
      <c r="D31" s="184">
        <v>941.86799999999994</v>
      </c>
      <c r="E31" s="163">
        <v>183.19</v>
      </c>
      <c r="F31" s="164">
        <f t="shared" si="11"/>
        <v>172540.79891999997</v>
      </c>
      <c r="G31" s="186">
        <v>843.75</v>
      </c>
      <c r="H31" s="165">
        <f t="shared" si="14"/>
        <v>98.117999999999938</v>
      </c>
      <c r="I31" s="171">
        <f>G31+H31</f>
        <v>941.86799999999994</v>
      </c>
      <c r="J31" s="167">
        <f>I31/D31</f>
        <v>1</v>
      </c>
      <c r="K31" s="168">
        <f>G31*E31</f>
        <v>154566.5625</v>
      </c>
      <c r="L31" s="81">
        <f t="shared" si="15"/>
        <v>17974.23641999999</v>
      </c>
      <c r="M31" s="169">
        <f t="shared" si="12"/>
        <v>172540.79892</v>
      </c>
    </row>
    <row r="32" spans="1:13" x14ac:dyDescent="0.25">
      <c r="A32" s="159"/>
      <c r="B32" s="172" t="s">
        <v>206</v>
      </c>
      <c r="C32" s="157"/>
      <c r="D32" s="157"/>
      <c r="E32" s="158"/>
      <c r="F32" s="158">
        <f>SUM(F28:F31)</f>
        <v>644451.39547199989</v>
      </c>
      <c r="G32" s="152"/>
      <c r="H32" s="152"/>
      <c r="I32" s="153"/>
      <c r="J32" s="154"/>
      <c r="K32" s="176">
        <f>SUM(K28:K31)</f>
        <v>527717.86442418001</v>
      </c>
      <c r="L32" s="85">
        <f>SUM(L28:L31)</f>
        <v>116733.53104781992</v>
      </c>
      <c r="M32" s="178">
        <f t="shared" si="12"/>
        <v>644451.39547199989</v>
      </c>
    </row>
    <row r="33" spans="1:13" x14ac:dyDescent="0.25">
      <c r="A33" s="155">
        <v>6</v>
      </c>
      <c r="B33" s="187" t="s">
        <v>218</v>
      </c>
      <c r="C33" s="157"/>
      <c r="D33" s="157"/>
      <c r="E33" s="158"/>
      <c r="F33" s="158"/>
      <c r="G33" s="152"/>
      <c r="H33" s="152"/>
      <c r="I33" s="153"/>
      <c r="J33" s="154"/>
      <c r="K33" s="50"/>
      <c r="L33" s="85"/>
      <c r="M33" s="85"/>
    </row>
    <row r="34" spans="1:13" x14ac:dyDescent="0.25">
      <c r="A34" s="159">
        <f>A33+0.01</f>
        <v>6.01</v>
      </c>
      <c r="B34" s="188" t="s">
        <v>219</v>
      </c>
      <c r="C34" s="189" t="s">
        <v>201</v>
      </c>
      <c r="D34" s="184">
        <v>2</v>
      </c>
      <c r="E34" s="190">
        <v>33500</v>
      </c>
      <c r="F34" s="164">
        <f t="shared" ref="F34:F38" si="16">D34*E34</f>
        <v>67000</v>
      </c>
      <c r="G34" s="152"/>
      <c r="H34" s="165">
        <f>D34</f>
        <v>2</v>
      </c>
      <c r="I34" s="171">
        <f>G34+H34</f>
        <v>2</v>
      </c>
      <c r="J34" s="167">
        <f>I34/D34</f>
        <v>1</v>
      </c>
      <c r="K34" s="50"/>
      <c r="L34" s="81">
        <f t="shared" ref="L34:L38" si="17">H34*E34</f>
        <v>67000</v>
      </c>
      <c r="M34" s="169">
        <f t="shared" si="12"/>
        <v>67000</v>
      </c>
    </row>
    <row r="35" spans="1:13" x14ac:dyDescent="0.25">
      <c r="A35" s="159">
        <f t="shared" ref="A35:A39" si="18">A34+0.01</f>
        <v>6.02</v>
      </c>
      <c r="B35" s="188" t="s">
        <v>220</v>
      </c>
      <c r="C35" s="191" t="s">
        <v>201</v>
      </c>
      <c r="D35" s="184">
        <v>1</v>
      </c>
      <c r="E35" s="190">
        <v>17000</v>
      </c>
      <c r="F35" s="164">
        <f t="shared" si="16"/>
        <v>17000</v>
      </c>
      <c r="G35" s="152"/>
      <c r="H35" s="165">
        <f t="shared" ref="H35:H38" si="19">D35</f>
        <v>1</v>
      </c>
      <c r="I35" s="171">
        <f t="shared" ref="I35:I38" si="20">G35+H35</f>
        <v>1</v>
      </c>
      <c r="J35" s="167">
        <f t="shared" ref="J35:J38" si="21">I35/D35</f>
        <v>1</v>
      </c>
      <c r="K35" s="50"/>
      <c r="L35" s="81">
        <f t="shared" si="17"/>
        <v>17000</v>
      </c>
      <c r="M35" s="169">
        <f t="shared" si="12"/>
        <v>17000</v>
      </c>
    </row>
    <row r="36" spans="1:13" x14ac:dyDescent="0.25">
      <c r="A36" s="159">
        <f t="shared" si="18"/>
        <v>6.0299999999999994</v>
      </c>
      <c r="B36" s="188" t="s">
        <v>221</v>
      </c>
      <c r="C36" s="191" t="s">
        <v>201</v>
      </c>
      <c r="D36" s="184">
        <v>1</v>
      </c>
      <c r="E36" s="190">
        <v>10000</v>
      </c>
      <c r="F36" s="164">
        <f t="shared" si="16"/>
        <v>10000</v>
      </c>
      <c r="G36" s="152"/>
      <c r="H36" s="165">
        <f t="shared" si="19"/>
        <v>1</v>
      </c>
      <c r="I36" s="171">
        <f t="shared" si="20"/>
        <v>1</v>
      </c>
      <c r="J36" s="167">
        <f t="shared" si="21"/>
        <v>1</v>
      </c>
      <c r="K36" s="50"/>
      <c r="L36" s="81">
        <f t="shared" si="17"/>
        <v>10000</v>
      </c>
      <c r="M36" s="169">
        <f t="shared" si="12"/>
        <v>10000</v>
      </c>
    </row>
    <row r="37" spans="1:13" x14ac:dyDescent="0.25">
      <c r="A37" s="159">
        <f t="shared" si="18"/>
        <v>6.0399999999999991</v>
      </c>
      <c r="B37" s="192" t="s">
        <v>222</v>
      </c>
      <c r="C37" s="191" t="s">
        <v>201</v>
      </c>
      <c r="D37" s="184">
        <v>1</v>
      </c>
      <c r="E37" s="190">
        <v>39500</v>
      </c>
      <c r="F37" s="164">
        <f t="shared" si="16"/>
        <v>39500</v>
      </c>
      <c r="G37" s="152"/>
      <c r="H37" s="165">
        <f t="shared" si="19"/>
        <v>1</v>
      </c>
      <c r="I37" s="171">
        <f t="shared" si="20"/>
        <v>1</v>
      </c>
      <c r="J37" s="167">
        <f t="shared" si="21"/>
        <v>1</v>
      </c>
      <c r="K37" s="50"/>
      <c r="L37" s="81">
        <f t="shared" si="17"/>
        <v>39500</v>
      </c>
      <c r="M37" s="169">
        <f t="shared" si="12"/>
        <v>39500</v>
      </c>
    </row>
    <row r="38" spans="1:13" x14ac:dyDescent="0.25">
      <c r="A38" s="159">
        <f t="shared" si="18"/>
        <v>6.0499999999999989</v>
      </c>
      <c r="B38" s="193" t="s">
        <v>223</v>
      </c>
      <c r="C38" s="191" t="s">
        <v>201</v>
      </c>
      <c r="D38" s="184">
        <v>1</v>
      </c>
      <c r="E38" s="190">
        <v>8500</v>
      </c>
      <c r="F38" s="194">
        <f t="shared" si="16"/>
        <v>8500</v>
      </c>
      <c r="G38" s="152"/>
      <c r="H38" s="165">
        <f t="shared" si="19"/>
        <v>1</v>
      </c>
      <c r="I38" s="171">
        <f t="shared" si="20"/>
        <v>1</v>
      </c>
      <c r="J38" s="167">
        <f t="shared" si="21"/>
        <v>1</v>
      </c>
      <c r="K38" s="50"/>
      <c r="L38" s="81">
        <f t="shared" si="17"/>
        <v>8500</v>
      </c>
      <c r="M38" s="169">
        <f t="shared" si="12"/>
        <v>8500</v>
      </c>
    </row>
    <row r="39" spans="1:13" x14ac:dyDescent="0.25">
      <c r="A39" s="159">
        <f t="shared" si="18"/>
        <v>6.0599999999999987</v>
      </c>
      <c r="B39" s="172" t="s">
        <v>206</v>
      </c>
      <c r="C39" s="157"/>
      <c r="D39" s="157"/>
      <c r="E39" s="158"/>
      <c r="F39" s="158">
        <f>SUM(F34:F38)</f>
        <v>142000</v>
      </c>
      <c r="G39" s="152"/>
      <c r="H39" s="152"/>
      <c r="I39" s="153"/>
      <c r="J39" s="154"/>
      <c r="K39" s="50"/>
      <c r="L39" s="85">
        <f>SUM(L34:L38)</f>
        <v>142000</v>
      </c>
      <c r="M39" s="85">
        <f t="shared" si="12"/>
        <v>142000</v>
      </c>
    </row>
    <row r="40" spans="1:13" x14ac:dyDescent="0.25">
      <c r="A40" s="155">
        <v>7</v>
      </c>
      <c r="B40" s="187" t="s">
        <v>224</v>
      </c>
      <c r="C40" s="157"/>
      <c r="D40" s="157"/>
      <c r="E40" s="158"/>
      <c r="F40" s="158"/>
      <c r="G40" s="152"/>
      <c r="H40" s="152"/>
      <c r="I40" s="153"/>
      <c r="J40" s="154"/>
      <c r="K40" s="50"/>
      <c r="L40" s="85"/>
      <c r="M40" s="85"/>
    </row>
    <row r="41" spans="1:13" x14ac:dyDescent="0.25">
      <c r="A41" s="159">
        <f>A40+0.01</f>
        <v>7.01</v>
      </c>
      <c r="B41" s="192" t="s">
        <v>219</v>
      </c>
      <c r="C41" s="189" t="s">
        <v>201</v>
      </c>
      <c r="D41" s="184">
        <v>1</v>
      </c>
      <c r="E41" s="190">
        <v>33500</v>
      </c>
      <c r="F41" s="194">
        <f t="shared" ref="F41:F45" si="22">D41*E41</f>
        <v>33500</v>
      </c>
      <c r="G41" s="152"/>
      <c r="H41" s="165">
        <f t="shared" ref="H41:H45" si="23">D41</f>
        <v>1</v>
      </c>
      <c r="I41" s="171">
        <f t="shared" ref="I41:I45" si="24">G41+H41</f>
        <v>1</v>
      </c>
      <c r="J41" s="167">
        <f t="shared" ref="J41:J45" si="25">I41/D41</f>
        <v>1</v>
      </c>
      <c r="K41" s="50"/>
      <c r="L41" s="81">
        <f t="shared" ref="L41:L45" si="26">H41*E41</f>
        <v>33500</v>
      </c>
      <c r="M41" s="169">
        <f t="shared" ref="M41:M46" si="27">K41+L41</f>
        <v>33500</v>
      </c>
    </row>
    <row r="42" spans="1:13" x14ac:dyDescent="0.25">
      <c r="A42" s="159">
        <f t="shared" ref="A42:A45" si="28">A41+0.01</f>
        <v>7.02</v>
      </c>
      <c r="B42" s="188" t="s">
        <v>221</v>
      </c>
      <c r="C42" s="189" t="s">
        <v>201</v>
      </c>
      <c r="D42" s="184">
        <v>1</v>
      </c>
      <c r="E42" s="190">
        <v>7500</v>
      </c>
      <c r="F42" s="194">
        <f t="shared" si="22"/>
        <v>7500</v>
      </c>
      <c r="G42" s="152"/>
      <c r="H42" s="165">
        <f t="shared" si="23"/>
        <v>1</v>
      </c>
      <c r="I42" s="171">
        <f t="shared" si="24"/>
        <v>1</v>
      </c>
      <c r="J42" s="167">
        <f t="shared" si="25"/>
        <v>1</v>
      </c>
      <c r="K42" s="50"/>
      <c r="L42" s="81">
        <f t="shared" si="26"/>
        <v>7500</v>
      </c>
      <c r="M42" s="169">
        <f t="shared" si="27"/>
        <v>7500</v>
      </c>
    </row>
    <row r="43" spans="1:13" x14ac:dyDescent="0.25">
      <c r="A43" s="159">
        <f t="shared" si="28"/>
        <v>7.0299999999999994</v>
      </c>
      <c r="B43" s="192" t="s">
        <v>222</v>
      </c>
      <c r="C43" s="191" t="s">
        <v>201</v>
      </c>
      <c r="D43" s="184">
        <v>1</v>
      </c>
      <c r="E43" s="190">
        <v>40500</v>
      </c>
      <c r="F43" s="194">
        <f t="shared" si="22"/>
        <v>40500</v>
      </c>
      <c r="G43" s="152"/>
      <c r="H43" s="165">
        <f t="shared" si="23"/>
        <v>1</v>
      </c>
      <c r="I43" s="171">
        <f t="shared" si="24"/>
        <v>1</v>
      </c>
      <c r="J43" s="167">
        <f t="shared" si="25"/>
        <v>1</v>
      </c>
      <c r="K43" s="50"/>
      <c r="L43" s="81">
        <f t="shared" si="26"/>
        <v>40500</v>
      </c>
      <c r="M43" s="169">
        <f t="shared" si="27"/>
        <v>40500</v>
      </c>
    </row>
    <row r="44" spans="1:13" x14ac:dyDescent="0.25">
      <c r="A44" s="159">
        <f t="shared" si="28"/>
        <v>7.0399999999999991</v>
      </c>
      <c r="B44" s="192" t="s">
        <v>225</v>
      </c>
      <c r="C44" s="191" t="s">
        <v>201</v>
      </c>
      <c r="D44" s="184">
        <v>2</v>
      </c>
      <c r="E44" s="190">
        <v>4800</v>
      </c>
      <c r="F44" s="194">
        <f t="shared" si="22"/>
        <v>9600</v>
      </c>
      <c r="G44" s="152"/>
      <c r="H44" s="165">
        <f t="shared" si="23"/>
        <v>2</v>
      </c>
      <c r="I44" s="171">
        <f t="shared" si="24"/>
        <v>2</v>
      </c>
      <c r="J44" s="167">
        <f t="shared" si="25"/>
        <v>1</v>
      </c>
      <c r="K44" s="50"/>
      <c r="L44" s="81">
        <f t="shared" si="26"/>
        <v>9600</v>
      </c>
      <c r="M44" s="169">
        <f t="shared" si="27"/>
        <v>9600</v>
      </c>
    </row>
    <row r="45" spans="1:13" x14ac:dyDescent="0.25">
      <c r="A45" s="159">
        <f t="shared" si="28"/>
        <v>7.0499999999999989</v>
      </c>
      <c r="B45" s="193" t="s">
        <v>223</v>
      </c>
      <c r="C45" s="191" t="s">
        <v>201</v>
      </c>
      <c r="D45" s="184">
        <v>2</v>
      </c>
      <c r="E45" s="190">
        <v>8500</v>
      </c>
      <c r="F45" s="194">
        <f t="shared" si="22"/>
        <v>17000</v>
      </c>
      <c r="G45" s="152"/>
      <c r="H45" s="165">
        <f t="shared" si="23"/>
        <v>2</v>
      </c>
      <c r="I45" s="171">
        <f t="shared" si="24"/>
        <v>2</v>
      </c>
      <c r="J45" s="167">
        <f t="shared" si="25"/>
        <v>1</v>
      </c>
      <c r="K45" s="50"/>
      <c r="L45" s="81">
        <f t="shared" si="26"/>
        <v>17000</v>
      </c>
      <c r="M45" s="169">
        <f t="shared" si="27"/>
        <v>17000</v>
      </c>
    </row>
    <row r="46" spans="1:13" x14ac:dyDescent="0.25">
      <c r="A46" s="159"/>
      <c r="B46" s="172" t="s">
        <v>206</v>
      </c>
      <c r="C46" s="191"/>
      <c r="D46" s="184"/>
      <c r="E46" s="190"/>
      <c r="F46" s="195">
        <f>SUM(F41:F45)</f>
        <v>108100</v>
      </c>
      <c r="G46" s="152"/>
      <c r="H46" s="152"/>
      <c r="I46" s="153"/>
      <c r="J46" s="154"/>
      <c r="K46" s="50"/>
      <c r="L46" s="85">
        <f>SUM(L41:L45)</f>
        <v>108100</v>
      </c>
      <c r="M46" s="85">
        <f t="shared" si="27"/>
        <v>108100</v>
      </c>
    </row>
    <row r="47" spans="1:13" ht="12.75" customHeight="1" x14ac:dyDescent="0.25">
      <c r="A47" s="155">
        <v>8</v>
      </c>
      <c r="B47" s="187" t="s">
        <v>226</v>
      </c>
      <c r="C47" s="191"/>
      <c r="D47" s="184"/>
      <c r="E47" s="190"/>
      <c r="F47" s="194"/>
      <c r="G47" s="152"/>
      <c r="H47" s="152"/>
      <c r="I47" s="153"/>
      <c r="J47" s="154"/>
      <c r="K47" s="50"/>
      <c r="L47" s="85"/>
      <c r="M47" s="85"/>
    </row>
    <row r="48" spans="1:13" ht="63.75" x14ac:dyDescent="0.25">
      <c r="A48" s="159">
        <f>A47+0.01</f>
        <v>8.01</v>
      </c>
      <c r="B48" s="196" t="s">
        <v>227</v>
      </c>
      <c r="C48" s="191" t="s">
        <v>201</v>
      </c>
      <c r="D48" s="184">
        <v>1</v>
      </c>
      <c r="E48" s="190">
        <v>798115.5</v>
      </c>
      <c r="F48" s="194">
        <f t="shared" ref="F48:F54" si="29">D48*E48</f>
        <v>798115.5</v>
      </c>
      <c r="G48" s="152"/>
      <c r="H48" s="197">
        <v>0.75</v>
      </c>
      <c r="I48" s="171">
        <f t="shared" ref="I48:I51" si="30">G48+H48</f>
        <v>0.75</v>
      </c>
      <c r="J48" s="198">
        <f t="shared" ref="J48:J51" si="31">I48/D48</f>
        <v>0.75</v>
      </c>
      <c r="K48" s="50"/>
      <c r="L48" s="35">
        <f t="shared" ref="L48:L51" si="32">H48*E48</f>
        <v>598586.625</v>
      </c>
      <c r="M48" s="169">
        <f t="shared" ref="M48:M51" si="33">K48+L48</f>
        <v>598586.625</v>
      </c>
    </row>
    <row r="49" spans="1:13" ht="38.25" x14ac:dyDescent="0.25">
      <c r="A49" s="159">
        <f>A48+0.01</f>
        <v>8.02</v>
      </c>
      <c r="B49" s="196" t="s">
        <v>228</v>
      </c>
      <c r="C49" s="191" t="s">
        <v>201</v>
      </c>
      <c r="D49" s="184">
        <v>1</v>
      </c>
      <c r="E49" s="190">
        <v>47203</v>
      </c>
      <c r="F49" s="194">
        <f t="shared" si="29"/>
        <v>47203</v>
      </c>
      <c r="G49" s="152"/>
      <c r="H49" s="197">
        <f t="shared" ref="H49:H51" si="34">D49</f>
        <v>1</v>
      </c>
      <c r="I49" s="171">
        <f t="shared" si="30"/>
        <v>1</v>
      </c>
      <c r="J49" s="198">
        <f t="shared" si="31"/>
        <v>1</v>
      </c>
      <c r="K49" s="50"/>
      <c r="L49" s="35">
        <f t="shared" si="32"/>
        <v>47203</v>
      </c>
      <c r="M49" s="169">
        <f t="shared" si="33"/>
        <v>47203</v>
      </c>
    </row>
    <row r="50" spans="1:13" ht="51" x14ac:dyDescent="0.25">
      <c r="A50" s="159">
        <f t="shared" ref="A50:A54" si="35">A49+0.01</f>
        <v>8.0299999999999994</v>
      </c>
      <c r="B50" s="188" t="s">
        <v>229</v>
      </c>
      <c r="C50" s="191" t="s">
        <v>201</v>
      </c>
      <c r="D50" s="184">
        <v>1</v>
      </c>
      <c r="E50" s="190">
        <v>72115.16</v>
      </c>
      <c r="F50" s="194">
        <f t="shared" si="29"/>
        <v>72115.16</v>
      </c>
      <c r="G50" s="152"/>
      <c r="H50" s="197">
        <f t="shared" si="34"/>
        <v>1</v>
      </c>
      <c r="I50" s="171">
        <f t="shared" si="30"/>
        <v>1</v>
      </c>
      <c r="J50" s="198">
        <f t="shared" si="31"/>
        <v>1</v>
      </c>
      <c r="K50" s="50"/>
      <c r="L50" s="35">
        <f t="shared" si="32"/>
        <v>72115.16</v>
      </c>
      <c r="M50" s="169">
        <f t="shared" si="33"/>
        <v>72115.16</v>
      </c>
    </row>
    <row r="51" spans="1:13" ht="25.5" x14ac:dyDescent="0.25">
      <c r="A51" s="159">
        <f t="shared" si="35"/>
        <v>8.0399999999999991</v>
      </c>
      <c r="B51" s="188" t="s">
        <v>230</v>
      </c>
      <c r="C51" s="191" t="s">
        <v>201</v>
      </c>
      <c r="D51" s="184">
        <v>1</v>
      </c>
      <c r="E51" s="190">
        <v>45000</v>
      </c>
      <c r="F51" s="194">
        <f t="shared" si="29"/>
        <v>45000</v>
      </c>
      <c r="G51" s="152"/>
      <c r="H51" s="197">
        <f t="shared" si="34"/>
        <v>1</v>
      </c>
      <c r="I51" s="171">
        <f t="shared" si="30"/>
        <v>1</v>
      </c>
      <c r="J51" s="198">
        <f t="shared" si="31"/>
        <v>1</v>
      </c>
      <c r="K51" s="50"/>
      <c r="L51" s="35">
        <f t="shared" si="32"/>
        <v>45000</v>
      </c>
      <c r="M51" s="169">
        <f t="shared" si="33"/>
        <v>45000</v>
      </c>
    </row>
    <row r="52" spans="1:13" ht="38.25" x14ac:dyDescent="0.25">
      <c r="A52" s="159">
        <f t="shared" si="35"/>
        <v>8.0499999999999989</v>
      </c>
      <c r="B52" s="188" t="s">
        <v>231</v>
      </c>
      <c r="C52" s="191" t="s">
        <v>201</v>
      </c>
      <c r="D52" s="184">
        <v>1</v>
      </c>
      <c r="E52" s="190">
        <v>9933.65</v>
      </c>
      <c r="F52" s="194">
        <f t="shared" si="29"/>
        <v>9933.65</v>
      </c>
      <c r="G52" s="152"/>
      <c r="H52" s="152"/>
      <c r="I52" s="153"/>
      <c r="J52" s="154"/>
      <c r="K52" s="50"/>
      <c r="L52" s="85"/>
      <c r="M52" s="85">
        <f>K52+L55</f>
        <v>762904.78500000003</v>
      </c>
    </row>
    <row r="53" spans="1:13" ht="25.5" x14ac:dyDescent="0.25">
      <c r="A53" s="159">
        <f t="shared" si="35"/>
        <v>8.0599999999999987</v>
      </c>
      <c r="B53" s="188" t="s">
        <v>232</v>
      </c>
      <c r="C53" s="191" t="s">
        <v>201</v>
      </c>
      <c r="D53" s="184">
        <v>1</v>
      </c>
      <c r="E53" s="190">
        <v>3605.57</v>
      </c>
      <c r="F53" s="194">
        <f t="shared" si="29"/>
        <v>3605.57</v>
      </c>
      <c r="G53" s="152"/>
      <c r="H53" s="152"/>
      <c r="I53" s="153"/>
      <c r="J53" s="154"/>
      <c r="K53" s="50"/>
      <c r="L53" s="85"/>
      <c r="M53" s="85"/>
    </row>
    <row r="54" spans="1:13" ht="25.5" x14ac:dyDescent="0.25">
      <c r="A54" s="159">
        <f t="shared" si="35"/>
        <v>8.0699999999999985</v>
      </c>
      <c r="B54" s="188" t="s">
        <v>233</v>
      </c>
      <c r="C54" s="191" t="s">
        <v>201</v>
      </c>
      <c r="D54" s="184">
        <v>16</v>
      </c>
      <c r="E54" s="190">
        <v>4971.01</v>
      </c>
      <c r="F54" s="194">
        <f t="shared" si="29"/>
        <v>79536.160000000003</v>
      </c>
      <c r="G54" s="152"/>
      <c r="H54" s="152"/>
      <c r="I54" s="153"/>
      <c r="J54" s="154"/>
      <c r="K54" s="50"/>
      <c r="L54" s="85"/>
      <c r="M54" s="85"/>
    </row>
    <row r="55" spans="1:13" x14ac:dyDescent="0.25">
      <c r="A55" s="159"/>
      <c r="B55" s="172" t="s">
        <v>206</v>
      </c>
      <c r="C55" s="191"/>
      <c r="D55" s="184"/>
      <c r="E55" s="190"/>
      <c r="F55" s="195">
        <f>SUM(F48:F54)</f>
        <v>1055509.04</v>
      </c>
      <c r="G55" s="152"/>
      <c r="H55" s="152"/>
      <c r="I55" s="153"/>
      <c r="J55" s="154"/>
      <c r="K55" s="50"/>
      <c r="L55" s="85">
        <f>SUM(L48:L51)</f>
        <v>762904.78500000003</v>
      </c>
      <c r="M55" s="85"/>
    </row>
    <row r="56" spans="1:13" x14ac:dyDescent="0.25">
      <c r="A56" s="155">
        <v>9</v>
      </c>
      <c r="B56" s="187" t="s">
        <v>234</v>
      </c>
      <c r="C56" s="191"/>
      <c r="D56" s="184"/>
      <c r="E56" s="190"/>
      <c r="F56" s="194"/>
      <c r="G56" s="152"/>
      <c r="H56" s="152"/>
      <c r="I56" s="153"/>
      <c r="J56" s="154"/>
      <c r="K56" s="50"/>
      <c r="L56" s="85"/>
      <c r="M56" s="85"/>
    </row>
    <row r="57" spans="1:13" ht="63.75" x14ac:dyDescent="0.25">
      <c r="A57" s="159">
        <f>A56+0.01</f>
        <v>9.01</v>
      </c>
      <c r="B57" s="196" t="s">
        <v>227</v>
      </c>
      <c r="C57" s="191" t="s">
        <v>201</v>
      </c>
      <c r="D57" s="184">
        <v>1</v>
      </c>
      <c r="E57" s="190">
        <v>798115.5</v>
      </c>
      <c r="F57" s="194">
        <f t="shared" ref="F57:F63" si="36">D57*E57</f>
        <v>798115.5</v>
      </c>
      <c r="G57" s="152"/>
      <c r="H57" s="197">
        <v>0.75</v>
      </c>
      <c r="I57" s="171">
        <f t="shared" ref="I57:I60" si="37">G57+H57</f>
        <v>0.75</v>
      </c>
      <c r="J57" s="198">
        <f t="shared" ref="J57:J60" si="38">I57/D57</f>
        <v>0.75</v>
      </c>
      <c r="K57" s="50"/>
      <c r="L57" s="35">
        <f t="shared" ref="L57:L60" si="39">H57*E57</f>
        <v>598586.625</v>
      </c>
      <c r="M57" s="169">
        <f t="shared" ref="M57:M60" si="40">K57+L57</f>
        <v>598586.625</v>
      </c>
    </row>
    <row r="58" spans="1:13" ht="38.25" x14ac:dyDescent="0.25">
      <c r="A58" s="159">
        <f>A57+0.01</f>
        <v>9.02</v>
      </c>
      <c r="B58" s="196" t="s">
        <v>228</v>
      </c>
      <c r="C58" s="191" t="s">
        <v>201</v>
      </c>
      <c r="D58" s="184">
        <v>1</v>
      </c>
      <c r="E58" s="190">
        <v>47203</v>
      </c>
      <c r="F58" s="194">
        <f t="shared" si="36"/>
        <v>47203</v>
      </c>
      <c r="G58" s="152"/>
      <c r="H58" s="197">
        <f t="shared" ref="H58:H60" si="41">D58</f>
        <v>1</v>
      </c>
      <c r="I58" s="171">
        <f t="shared" si="37"/>
        <v>1</v>
      </c>
      <c r="J58" s="198">
        <f t="shared" si="38"/>
        <v>1</v>
      </c>
      <c r="K58" s="50"/>
      <c r="L58" s="35">
        <f t="shared" si="39"/>
        <v>47203</v>
      </c>
      <c r="M58" s="169">
        <f t="shared" si="40"/>
        <v>47203</v>
      </c>
    </row>
    <row r="59" spans="1:13" ht="51" x14ac:dyDescent="0.25">
      <c r="A59" s="159">
        <f t="shared" ref="A59:A63" si="42">A58+0.01</f>
        <v>9.0299999999999994</v>
      </c>
      <c r="B59" s="188" t="s">
        <v>229</v>
      </c>
      <c r="C59" s="191" t="s">
        <v>201</v>
      </c>
      <c r="D59" s="184">
        <v>1</v>
      </c>
      <c r="E59" s="190">
        <v>72115.16</v>
      </c>
      <c r="F59" s="194">
        <f t="shared" si="36"/>
        <v>72115.16</v>
      </c>
      <c r="G59" s="152"/>
      <c r="H59" s="197">
        <f t="shared" si="41"/>
        <v>1</v>
      </c>
      <c r="I59" s="171">
        <f t="shared" si="37"/>
        <v>1</v>
      </c>
      <c r="J59" s="198">
        <f t="shared" si="38"/>
        <v>1</v>
      </c>
      <c r="K59" s="50"/>
      <c r="L59" s="35">
        <f t="shared" si="39"/>
        <v>72115.16</v>
      </c>
      <c r="M59" s="169">
        <f t="shared" si="40"/>
        <v>72115.16</v>
      </c>
    </row>
    <row r="60" spans="1:13" ht="25.5" x14ac:dyDescent="0.25">
      <c r="A60" s="159">
        <f t="shared" si="42"/>
        <v>9.0399999999999991</v>
      </c>
      <c r="B60" s="188" t="s">
        <v>230</v>
      </c>
      <c r="C60" s="191" t="s">
        <v>201</v>
      </c>
      <c r="D60" s="184">
        <v>1</v>
      </c>
      <c r="E60" s="190">
        <v>45000</v>
      </c>
      <c r="F60" s="194">
        <f t="shared" si="36"/>
        <v>45000</v>
      </c>
      <c r="G60" s="152"/>
      <c r="H60" s="197">
        <f t="shared" si="41"/>
        <v>1</v>
      </c>
      <c r="I60" s="171">
        <f t="shared" si="37"/>
        <v>1</v>
      </c>
      <c r="J60" s="198">
        <f t="shared" si="38"/>
        <v>1</v>
      </c>
      <c r="K60" s="50"/>
      <c r="L60" s="35">
        <f t="shared" si="39"/>
        <v>45000</v>
      </c>
      <c r="M60" s="169">
        <f t="shared" si="40"/>
        <v>45000</v>
      </c>
    </row>
    <row r="61" spans="1:13" ht="38.25" x14ac:dyDescent="0.25">
      <c r="A61" s="159">
        <f t="shared" si="42"/>
        <v>9.0499999999999989</v>
      </c>
      <c r="B61" s="188" t="s">
        <v>231</v>
      </c>
      <c r="C61" s="191" t="s">
        <v>201</v>
      </c>
      <c r="D61" s="184">
        <v>1</v>
      </c>
      <c r="E61" s="190">
        <v>9933.65</v>
      </c>
      <c r="F61" s="194">
        <f t="shared" si="36"/>
        <v>9933.65</v>
      </c>
      <c r="G61" s="152"/>
      <c r="H61" s="152"/>
      <c r="I61" s="153"/>
      <c r="J61" s="154"/>
      <c r="K61" s="50"/>
      <c r="L61" s="85"/>
      <c r="M61" s="85">
        <f>K61+L64</f>
        <v>762904.78500000003</v>
      </c>
    </row>
    <row r="62" spans="1:13" ht="25.5" x14ac:dyDescent="0.25">
      <c r="A62" s="159">
        <f t="shared" si="42"/>
        <v>9.0599999999999987</v>
      </c>
      <c r="B62" s="188" t="s">
        <v>232</v>
      </c>
      <c r="C62" s="191" t="s">
        <v>201</v>
      </c>
      <c r="D62" s="184">
        <v>1</v>
      </c>
      <c r="E62" s="190">
        <v>3605.57</v>
      </c>
      <c r="F62" s="194">
        <f t="shared" si="36"/>
        <v>3605.57</v>
      </c>
      <c r="G62" s="152"/>
      <c r="H62" s="152"/>
      <c r="I62" s="153"/>
      <c r="J62" s="154"/>
      <c r="K62" s="50"/>
      <c r="L62" s="85"/>
      <c r="M62" s="85"/>
    </row>
    <row r="63" spans="1:13" ht="25.5" x14ac:dyDescent="0.25">
      <c r="A63" s="159">
        <f t="shared" si="42"/>
        <v>9.0699999999999985</v>
      </c>
      <c r="B63" s="188" t="s">
        <v>233</v>
      </c>
      <c r="C63" s="191" t="s">
        <v>201</v>
      </c>
      <c r="D63" s="184">
        <v>16</v>
      </c>
      <c r="E63" s="190">
        <v>4971.01</v>
      </c>
      <c r="F63" s="194">
        <f t="shared" si="36"/>
        <v>79536.160000000003</v>
      </c>
      <c r="G63" s="152"/>
      <c r="H63" s="152"/>
      <c r="I63" s="153"/>
      <c r="J63" s="154"/>
      <c r="K63" s="50"/>
      <c r="L63" s="85"/>
      <c r="M63" s="85"/>
    </row>
    <row r="64" spans="1:13" x14ac:dyDescent="0.25">
      <c r="A64" s="159"/>
      <c r="B64" s="172" t="s">
        <v>206</v>
      </c>
      <c r="C64" s="191"/>
      <c r="D64" s="184"/>
      <c r="E64" s="190"/>
      <c r="F64" s="195">
        <f>SUM(F57:F63)</f>
        <v>1055509.04</v>
      </c>
      <c r="G64" s="152"/>
      <c r="H64" s="152"/>
      <c r="I64" s="153"/>
      <c r="J64" s="154"/>
      <c r="K64" s="50"/>
      <c r="L64" s="85">
        <f>SUM(L57:L60)</f>
        <v>762904.78500000003</v>
      </c>
      <c r="M64" s="85"/>
    </row>
    <row r="65" spans="1:13" x14ac:dyDescent="0.25">
      <c r="A65" s="155">
        <v>10</v>
      </c>
      <c r="B65" s="187" t="s">
        <v>234</v>
      </c>
      <c r="C65" s="191"/>
      <c r="D65" s="184"/>
      <c r="E65" s="190"/>
      <c r="F65" s="194"/>
      <c r="G65" s="152"/>
      <c r="H65" s="152"/>
      <c r="I65" s="153"/>
      <c r="J65" s="154"/>
      <c r="K65" s="50"/>
      <c r="L65" s="85"/>
      <c r="M65" s="85"/>
    </row>
    <row r="66" spans="1:13" ht="63.75" x14ac:dyDescent="0.25">
      <c r="A66" s="159">
        <f>A65+0.01</f>
        <v>10.01</v>
      </c>
      <c r="B66" s="196" t="s">
        <v>227</v>
      </c>
      <c r="C66" s="191" t="s">
        <v>201</v>
      </c>
      <c r="D66" s="184">
        <v>1</v>
      </c>
      <c r="E66" s="190">
        <v>798115.5</v>
      </c>
      <c r="F66" s="194">
        <f t="shared" ref="F66:F72" si="43">D66*E66</f>
        <v>798115.5</v>
      </c>
      <c r="G66" s="152"/>
      <c r="H66" s="197">
        <v>0.75</v>
      </c>
      <c r="I66" s="171">
        <f t="shared" ref="I66:I69" si="44">G66+H66</f>
        <v>0.75</v>
      </c>
      <c r="J66" s="198">
        <f t="shared" ref="J66:J69" si="45">I66/D66</f>
        <v>0.75</v>
      </c>
      <c r="K66" s="50"/>
      <c r="L66" s="35">
        <f t="shared" ref="L66:L69" si="46">H66*E66</f>
        <v>598586.625</v>
      </c>
      <c r="M66" s="169">
        <f t="shared" ref="M66:M69" si="47">K66+L66</f>
        <v>598586.625</v>
      </c>
    </row>
    <row r="67" spans="1:13" ht="38.25" x14ac:dyDescent="0.25">
      <c r="A67" s="159">
        <f>A66+0.01</f>
        <v>10.02</v>
      </c>
      <c r="B67" s="196" t="s">
        <v>228</v>
      </c>
      <c r="C67" s="191" t="s">
        <v>201</v>
      </c>
      <c r="D67" s="184">
        <v>1</v>
      </c>
      <c r="E67" s="190">
        <v>47203</v>
      </c>
      <c r="F67" s="194">
        <f t="shared" si="43"/>
        <v>47203</v>
      </c>
      <c r="G67" s="152"/>
      <c r="H67" s="197">
        <f t="shared" ref="H67:H69" si="48">D67</f>
        <v>1</v>
      </c>
      <c r="I67" s="171">
        <f t="shared" si="44"/>
        <v>1</v>
      </c>
      <c r="J67" s="198">
        <f t="shared" si="45"/>
        <v>1</v>
      </c>
      <c r="K67" s="50"/>
      <c r="L67" s="35">
        <f t="shared" si="46"/>
        <v>47203</v>
      </c>
      <c r="M67" s="169">
        <f t="shared" si="47"/>
        <v>47203</v>
      </c>
    </row>
    <row r="68" spans="1:13" ht="51" x14ac:dyDescent="0.25">
      <c r="A68" s="159">
        <f t="shared" ref="A68:A72" si="49">A67+0.01</f>
        <v>10.029999999999999</v>
      </c>
      <c r="B68" s="188" t="s">
        <v>229</v>
      </c>
      <c r="C68" s="191" t="s">
        <v>201</v>
      </c>
      <c r="D68" s="184">
        <v>1</v>
      </c>
      <c r="E68" s="190">
        <v>72115.16</v>
      </c>
      <c r="F68" s="194">
        <f t="shared" si="43"/>
        <v>72115.16</v>
      </c>
      <c r="G68" s="152"/>
      <c r="H68" s="197">
        <f t="shared" si="48"/>
        <v>1</v>
      </c>
      <c r="I68" s="171">
        <f t="shared" si="44"/>
        <v>1</v>
      </c>
      <c r="J68" s="198">
        <f t="shared" si="45"/>
        <v>1</v>
      </c>
      <c r="K68" s="50"/>
      <c r="L68" s="35">
        <f t="shared" si="46"/>
        <v>72115.16</v>
      </c>
      <c r="M68" s="169">
        <f t="shared" si="47"/>
        <v>72115.16</v>
      </c>
    </row>
    <row r="69" spans="1:13" ht="25.5" x14ac:dyDescent="0.25">
      <c r="A69" s="159">
        <f t="shared" si="49"/>
        <v>10.039999999999999</v>
      </c>
      <c r="B69" s="188" t="s">
        <v>230</v>
      </c>
      <c r="C69" s="191" t="s">
        <v>201</v>
      </c>
      <c r="D69" s="184">
        <v>1</v>
      </c>
      <c r="E69" s="190">
        <v>45000</v>
      </c>
      <c r="F69" s="194">
        <f t="shared" si="43"/>
        <v>45000</v>
      </c>
      <c r="G69" s="152"/>
      <c r="H69" s="197">
        <f t="shared" si="48"/>
        <v>1</v>
      </c>
      <c r="I69" s="171">
        <f t="shared" si="44"/>
        <v>1</v>
      </c>
      <c r="J69" s="198">
        <f t="shared" si="45"/>
        <v>1</v>
      </c>
      <c r="K69" s="50"/>
      <c r="L69" s="35">
        <f t="shared" si="46"/>
        <v>45000</v>
      </c>
      <c r="M69" s="169">
        <f t="shared" si="47"/>
        <v>45000</v>
      </c>
    </row>
    <row r="70" spans="1:13" ht="38.25" x14ac:dyDescent="0.25">
      <c r="A70" s="159">
        <f t="shared" si="49"/>
        <v>10.049999999999999</v>
      </c>
      <c r="B70" s="188" t="s">
        <v>231</v>
      </c>
      <c r="C70" s="191" t="s">
        <v>201</v>
      </c>
      <c r="D70" s="184">
        <v>1</v>
      </c>
      <c r="E70" s="190">
        <v>9933.65</v>
      </c>
      <c r="F70" s="194">
        <f t="shared" si="43"/>
        <v>9933.65</v>
      </c>
      <c r="G70" s="152"/>
      <c r="H70" s="152"/>
      <c r="I70" s="153"/>
      <c r="J70" s="154"/>
      <c r="K70" s="50"/>
      <c r="L70" s="85"/>
      <c r="M70" s="85">
        <f>K70+L73</f>
        <v>762904.78500000003</v>
      </c>
    </row>
    <row r="71" spans="1:13" ht="25.5" x14ac:dyDescent="0.25">
      <c r="A71" s="159">
        <f t="shared" si="49"/>
        <v>10.059999999999999</v>
      </c>
      <c r="B71" s="188" t="s">
        <v>232</v>
      </c>
      <c r="C71" s="191" t="s">
        <v>201</v>
      </c>
      <c r="D71" s="184">
        <v>1</v>
      </c>
      <c r="E71" s="190">
        <v>3605.57</v>
      </c>
      <c r="F71" s="194">
        <f t="shared" si="43"/>
        <v>3605.57</v>
      </c>
      <c r="G71" s="152"/>
      <c r="H71" s="152"/>
      <c r="I71" s="153"/>
      <c r="J71" s="154"/>
      <c r="K71" s="50"/>
      <c r="L71" s="85"/>
      <c r="M71" s="85"/>
    </row>
    <row r="72" spans="1:13" ht="25.5" x14ac:dyDescent="0.25">
      <c r="A72" s="159">
        <f t="shared" si="49"/>
        <v>10.069999999999999</v>
      </c>
      <c r="B72" s="188" t="s">
        <v>233</v>
      </c>
      <c r="C72" s="191" t="s">
        <v>201</v>
      </c>
      <c r="D72" s="184">
        <v>16</v>
      </c>
      <c r="E72" s="190">
        <v>4971.01</v>
      </c>
      <c r="F72" s="194">
        <f t="shared" si="43"/>
        <v>79536.160000000003</v>
      </c>
      <c r="G72" s="152"/>
      <c r="H72" s="152"/>
      <c r="I72" s="153"/>
      <c r="J72" s="154"/>
      <c r="K72" s="50"/>
      <c r="L72" s="85"/>
      <c r="M72" s="85"/>
    </row>
    <row r="73" spans="1:13" x14ac:dyDescent="0.25">
      <c r="A73" s="159"/>
      <c r="B73" s="172" t="s">
        <v>206</v>
      </c>
      <c r="C73" s="191"/>
      <c r="D73" s="184"/>
      <c r="E73" s="190"/>
      <c r="F73" s="195">
        <f>SUM(F66:F72)</f>
        <v>1055509.04</v>
      </c>
      <c r="G73" s="152"/>
      <c r="H73" s="152"/>
      <c r="I73" s="153"/>
      <c r="J73" s="154"/>
      <c r="K73" s="50"/>
      <c r="L73" s="85">
        <f>SUM(L66:L69)</f>
        <v>762904.78500000003</v>
      </c>
      <c r="M73" s="85"/>
    </row>
    <row r="74" spans="1:13" x14ac:dyDescent="0.25">
      <c r="A74" s="159"/>
      <c r="B74" s="199" t="s">
        <v>235</v>
      </c>
      <c r="C74" s="200"/>
      <c r="D74" s="200"/>
      <c r="E74" s="201"/>
      <c r="F74" s="202">
        <f>F73+F64+F55+F46+F39+F32+F25+F22+F19+F16</f>
        <v>17263878.878672</v>
      </c>
      <c r="G74" s="152"/>
      <c r="H74" s="152"/>
      <c r="I74" s="153"/>
      <c r="J74" s="154"/>
      <c r="K74" s="203">
        <f>K32+K25+K22+K16+K19</f>
        <v>12578502.120720277</v>
      </c>
      <c r="L74" s="85">
        <f>L73+L64+L55+L46+L39+L32+L25+L22</f>
        <v>3807563.9929517242</v>
      </c>
      <c r="M74" s="178">
        <f t="shared" ref="M74" si="50">K74+L74</f>
        <v>16386066.113672001</v>
      </c>
    </row>
    <row r="75" spans="1:13" x14ac:dyDescent="0.25">
      <c r="A75" s="3"/>
      <c r="B75" s="10"/>
      <c r="C75" s="3"/>
      <c r="D75" s="3"/>
      <c r="E75" s="204"/>
      <c r="F75" s="3"/>
      <c r="G75" s="3"/>
      <c r="H75" s="3"/>
      <c r="I75" s="3"/>
      <c r="J75" s="3"/>
      <c r="K75" s="205"/>
      <c r="L75" s="206"/>
      <c r="M75" s="206"/>
    </row>
    <row r="76" spans="1:13" x14ac:dyDescent="0.25">
      <c r="A76" s="207"/>
      <c r="B76" s="10"/>
      <c r="C76" s="208"/>
      <c r="D76" s="208"/>
      <c r="E76" s="111"/>
      <c r="F76" s="209"/>
      <c r="G76" s="210"/>
      <c r="H76" s="211"/>
      <c r="I76" s="212"/>
      <c r="J76" s="213"/>
      <c r="K76" s="214"/>
      <c r="L76" s="215"/>
      <c r="M76" s="216"/>
    </row>
    <row r="77" spans="1:13" x14ac:dyDescent="0.25">
      <c r="A77" s="207"/>
    </row>
    <row r="78" spans="1:13" x14ac:dyDescent="0.25">
      <c r="A78" s="207"/>
      <c r="B78" s="217"/>
      <c r="C78" s="3"/>
      <c r="D78" s="3"/>
      <c r="E78" s="111"/>
      <c r="F78" s="209"/>
      <c r="G78" s="210"/>
      <c r="H78" s="211"/>
      <c r="I78" s="212"/>
      <c r="J78" s="213"/>
      <c r="K78" s="214"/>
      <c r="L78" s="215"/>
      <c r="M78" s="216"/>
    </row>
    <row r="79" spans="1:13" x14ac:dyDescent="0.25">
      <c r="A79" s="207"/>
      <c r="B79" s="207"/>
      <c r="C79" s="207"/>
      <c r="D79" s="207"/>
      <c r="E79" s="207"/>
      <c r="F79" s="207"/>
      <c r="G79" s="207"/>
      <c r="H79" s="207"/>
      <c r="I79" s="207"/>
      <c r="J79" s="207"/>
      <c r="K79" s="207"/>
      <c r="L79" s="207"/>
      <c r="M79" s="207"/>
    </row>
    <row r="80" spans="1:13" x14ac:dyDescent="0.25">
      <c r="A80" s="2"/>
      <c r="B80" s="421" t="s">
        <v>236</v>
      </c>
      <c r="C80" s="421"/>
      <c r="D80" s="421"/>
      <c r="E80" s="421"/>
      <c r="F80" s="421"/>
      <c r="G80" s="421"/>
      <c r="H80" s="421"/>
      <c r="I80" s="421"/>
      <c r="J80" s="421"/>
      <c r="K80" s="421"/>
      <c r="L80" s="10"/>
      <c r="M80" s="10"/>
    </row>
    <row r="81" spans="1:13" x14ac:dyDescent="0.25">
      <c r="A81" s="2"/>
      <c r="B81" s="434" t="s">
        <v>1</v>
      </c>
      <c r="C81" s="434"/>
      <c r="D81" s="434"/>
      <c r="E81" s="434"/>
      <c r="F81" s="434"/>
      <c r="G81" s="434"/>
      <c r="H81" s="434"/>
      <c r="I81" s="434"/>
      <c r="J81" s="434"/>
      <c r="K81" s="434"/>
      <c r="L81" s="218"/>
      <c r="M81" s="219" t="s">
        <v>237</v>
      </c>
    </row>
    <row r="82" spans="1:13" x14ac:dyDescent="0.25">
      <c r="A82" s="3"/>
      <c r="B82" s="220" t="s">
        <v>238</v>
      </c>
      <c r="C82" s="454" t="s">
        <v>239</v>
      </c>
      <c r="D82" s="454"/>
      <c r="E82" s="454"/>
      <c r="F82" s="454"/>
      <c r="G82" s="454"/>
      <c r="H82" s="454"/>
      <c r="I82" s="454"/>
      <c r="J82" s="3"/>
      <c r="K82" s="3"/>
      <c r="L82" s="4" t="s">
        <v>193</v>
      </c>
      <c r="M82" s="7">
        <v>21044668.350000001</v>
      </c>
    </row>
    <row r="83" spans="1:13" x14ac:dyDescent="0.25">
      <c r="A83" s="3"/>
      <c r="B83" s="4" t="s">
        <v>5</v>
      </c>
      <c r="C83" s="8">
        <v>4</v>
      </c>
      <c r="D83" s="3"/>
      <c r="E83" s="10"/>
      <c r="F83" s="10"/>
      <c r="G83" s="10"/>
      <c r="H83" s="3"/>
      <c r="I83" s="3"/>
      <c r="J83" s="3"/>
      <c r="K83" s="3"/>
      <c r="L83" s="4" t="s">
        <v>6</v>
      </c>
      <c r="M83" s="7">
        <v>2645359.2999999998</v>
      </c>
    </row>
    <row r="84" spans="1:13" x14ac:dyDescent="0.25">
      <c r="A84" s="3"/>
      <c r="B84" s="4" t="s">
        <v>7</v>
      </c>
      <c r="C84" s="10" t="s">
        <v>194</v>
      </c>
      <c r="D84" s="10"/>
      <c r="E84" s="10"/>
      <c r="F84" s="10"/>
      <c r="G84" s="11"/>
      <c r="H84" s="3"/>
      <c r="I84" s="3"/>
      <c r="J84" s="3"/>
      <c r="K84" s="3"/>
      <c r="L84" s="4" t="s">
        <v>9</v>
      </c>
      <c r="M84" s="12" t="s">
        <v>195</v>
      </c>
    </row>
    <row r="85" spans="1:13" x14ac:dyDescent="0.25">
      <c r="A85" s="3"/>
      <c r="B85" s="4" t="s">
        <v>11</v>
      </c>
      <c r="C85" s="10" t="s">
        <v>196</v>
      </c>
      <c r="D85" s="10"/>
      <c r="E85" s="10"/>
      <c r="F85" s="10"/>
      <c r="G85" s="10"/>
      <c r="H85" s="3"/>
      <c r="I85" s="3"/>
      <c r="J85" s="3"/>
      <c r="K85" s="3"/>
      <c r="L85" s="3"/>
      <c r="M85" s="3"/>
    </row>
    <row r="86" spans="1:13" x14ac:dyDescent="0.25">
      <c r="A86" s="3"/>
      <c r="B86" s="4"/>
      <c r="C86" s="10"/>
      <c r="D86" s="10"/>
      <c r="E86" s="10"/>
      <c r="F86" s="10"/>
      <c r="G86" s="10"/>
      <c r="H86" s="3"/>
      <c r="I86" s="3"/>
      <c r="J86" s="3"/>
      <c r="K86" s="3"/>
      <c r="L86" s="3"/>
      <c r="M86" s="3"/>
    </row>
    <row r="87" spans="1:13" x14ac:dyDescent="0.25">
      <c r="A87" s="3"/>
      <c r="B87" s="4"/>
      <c r="C87" s="10"/>
      <c r="D87" s="10"/>
      <c r="E87" s="10"/>
      <c r="F87" s="10"/>
      <c r="G87" s="10"/>
      <c r="H87" s="3"/>
      <c r="I87" s="3"/>
      <c r="J87" s="3"/>
      <c r="K87" s="3"/>
      <c r="L87" s="3"/>
      <c r="M87" s="3"/>
    </row>
    <row r="88" spans="1:13" x14ac:dyDescent="0.25">
      <c r="A88" s="3"/>
      <c r="B88" s="4"/>
      <c r="C88" s="10"/>
      <c r="D88" s="10"/>
      <c r="E88" s="421" t="s">
        <v>19</v>
      </c>
      <c r="F88" s="421"/>
      <c r="G88" s="221"/>
      <c r="H88" s="436" t="s">
        <v>22</v>
      </c>
      <c r="I88" s="436"/>
      <c r="J88" s="421" t="s">
        <v>23</v>
      </c>
      <c r="K88" s="421"/>
      <c r="L88" s="421" t="s">
        <v>24</v>
      </c>
      <c r="M88" s="421"/>
    </row>
    <row r="89" spans="1:13" x14ac:dyDescent="0.25">
      <c r="A89" s="3"/>
      <c r="B89" s="10" t="s">
        <v>240</v>
      </c>
      <c r="C89" s="10"/>
      <c r="D89" s="10"/>
      <c r="E89" s="452">
        <f>F74</f>
        <v>17263878.878672</v>
      </c>
      <c r="F89" s="452"/>
      <c r="G89" s="222"/>
      <c r="H89" s="424">
        <f>K74</f>
        <v>12578502.120720277</v>
      </c>
      <c r="I89" s="424"/>
      <c r="J89" s="424">
        <f>L74</f>
        <v>3807563.9929517242</v>
      </c>
      <c r="K89" s="424"/>
      <c r="L89" s="424">
        <f>H89+J89</f>
        <v>16386066.113672001</v>
      </c>
      <c r="M89" s="424"/>
    </row>
    <row r="90" spans="1:13" x14ac:dyDescent="0.25">
      <c r="A90" s="3"/>
      <c r="B90" s="8" t="s">
        <v>96</v>
      </c>
      <c r="C90" s="10"/>
      <c r="D90" s="10"/>
      <c r="E90" s="205"/>
      <c r="F90" s="205"/>
      <c r="G90" s="205"/>
      <c r="H90" s="453"/>
      <c r="I90" s="453"/>
      <c r="J90" s="223"/>
      <c r="K90" s="223"/>
      <c r="L90" s="223"/>
      <c r="M90" s="223"/>
    </row>
    <row r="91" spans="1:13" x14ac:dyDescent="0.25">
      <c r="A91" s="3"/>
      <c r="B91" s="8" t="s">
        <v>241</v>
      </c>
      <c r="C91" s="10"/>
      <c r="E91" s="224"/>
      <c r="F91" s="224"/>
      <c r="G91" s="224"/>
      <c r="H91" s="127"/>
      <c r="I91" s="127"/>
      <c r="J91" s="127"/>
      <c r="K91" s="127"/>
      <c r="L91" s="127"/>
      <c r="M91" s="127"/>
    </row>
    <row r="92" spans="1:13" x14ac:dyDescent="0.25">
      <c r="A92" s="225"/>
      <c r="B92" s="8" t="s">
        <v>171</v>
      </c>
      <c r="C92" s="117"/>
      <c r="D92" s="117"/>
      <c r="E92" s="447"/>
      <c r="F92" s="447"/>
      <c r="G92" s="226"/>
      <c r="H92" s="440"/>
      <c r="I92" s="440"/>
      <c r="J92" s="227"/>
      <c r="K92" s="227"/>
      <c r="L92" s="440"/>
      <c r="M92" s="440"/>
    </row>
    <row r="93" spans="1:13" x14ac:dyDescent="0.25">
      <c r="A93" s="225"/>
      <c r="B93" s="10" t="s">
        <v>172</v>
      </c>
      <c r="C93" s="117"/>
      <c r="D93" s="119">
        <v>0.03</v>
      </c>
      <c r="E93" s="447">
        <f>D93*E89</f>
        <v>517916.36636016</v>
      </c>
      <c r="F93" s="447"/>
      <c r="G93" s="226"/>
      <c r="H93" s="451">
        <f>H89*D93</f>
        <v>377355.06362160831</v>
      </c>
      <c r="I93" s="451"/>
      <c r="J93" s="449">
        <f>J89*D93</f>
        <v>114226.91978855172</v>
      </c>
      <c r="K93" s="449"/>
      <c r="L93" s="449">
        <f>H93+J93</f>
        <v>491581.98341016006</v>
      </c>
      <c r="M93" s="449"/>
    </row>
    <row r="94" spans="1:13" x14ac:dyDescent="0.25">
      <c r="A94" s="225"/>
      <c r="B94" s="10" t="s">
        <v>173</v>
      </c>
      <c r="C94" s="117"/>
      <c r="D94" s="121">
        <v>0.1</v>
      </c>
      <c r="E94" s="447">
        <f>D94*E89</f>
        <v>1726387.8878672002</v>
      </c>
      <c r="F94" s="447"/>
      <c r="G94" s="226"/>
      <c r="H94" s="451">
        <f>H89*D94</f>
        <v>1257850.2120720278</v>
      </c>
      <c r="I94" s="451"/>
      <c r="J94" s="449">
        <f>J89*D94</f>
        <v>380756.39929517242</v>
      </c>
      <c r="K94" s="449"/>
      <c r="L94" s="449">
        <f t="shared" ref="L94:L99" si="51">H94+J94</f>
        <v>1638606.6113672003</v>
      </c>
      <c r="M94" s="449"/>
    </row>
    <row r="95" spans="1:13" x14ac:dyDescent="0.25">
      <c r="A95" s="225"/>
      <c r="B95" s="10" t="s">
        <v>174</v>
      </c>
      <c r="C95" s="117"/>
      <c r="D95" s="121">
        <v>0.18</v>
      </c>
      <c r="E95" s="447">
        <f>D95*E94</f>
        <v>310749.81981609605</v>
      </c>
      <c r="F95" s="447"/>
      <c r="G95" s="226"/>
      <c r="H95" s="451">
        <f>H94*D95</f>
        <v>226413.038172965</v>
      </c>
      <c r="I95" s="451"/>
      <c r="J95" s="449">
        <f>J94*D95</f>
        <v>68536.151873131035</v>
      </c>
      <c r="K95" s="449"/>
      <c r="L95" s="449">
        <f t="shared" si="51"/>
        <v>294949.19004609605</v>
      </c>
      <c r="M95" s="449"/>
    </row>
    <row r="96" spans="1:13" x14ac:dyDescent="0.25">
      <c r="A96" s="225"/>
      <c r="B96" s="10" t="s">
        <v>242</v>
      </c>
      <c r="C96" s="121"/>
      <c r="D96" s="122">
        <v>0.03</v>
      </c>
      <c r="E96" s="447">
        <f>D96*E89</f>
        <v>517916.36636016</v>
      </c>
      <c r="F96" s="447"/>
      <c r="G96" s="226"/>
      <c r="H96" s="451">
        <f>H89*D96</f>
        <v>377355.06362160831</v>
      </c>
      <c r="I96" s="451"/>
      <c r="J96" s="449">
        <f>J89*D96</f>
        <v>114226.91978855172</v>
      </c>
      <c r="K96" s="449"/>
      <c r="L96" s="449">
        <f t="shared" si="51"/>
        <v>491581.98341016006</v>
      </c>
      <c r="M96" s="449"/>
    </row>
    <row r="97" spans="1:14" x14ac:dyDescent="0.25">
      <c r="A97" s="225"/>
      <c r="B97" s="10" t="s">
        <v>243</v>
      </c>
      <c r="C97" s="117"/>
      <c r="D97" s="117">
        <v>0.03</v>
      </c>
      <c r="E97" s="447">
        <f>D97*E89</f>
        <v>517916.36636016</v>
      </c>
      <c r="F97" s="447"/>
      <c r="G97" s="226"/>
      <c r="H97" s="451">
        <f>H89*D97</f>
        <v>377355.06362160831</v>
      </c>
      <c r="I97" s="451"/>
      <c r="J97" s="449">
        <f>J89*D97</f>
        <v>114226.91978855172</v>
      </c>
      <c r="K97" s="449"/>
      <c r="L97" s="449">
        <f t="shared" si="51"/>
        <v>491581.98341016006</v>
      </c>
      <c r="M97" s="449"/>
    </row>
    <row r="98" spans="1:14" x14ac:dyDescent="0.25">
      <c r="A98" s="225"/>
      <c r="B98" s="10" t="s">
        <v>244</v>
      </c>
      <c r="C98" s="117"/>
      <c r="D98" s="121">
        <v>0.01</v>
      </c>
      <c r="E98" s="447">
        <f>D98*E89</f>
        <v>172638.78878671999</v>
      </c>
      <c r="F98" s="447"/>
      <c r="G98" s="226"/>
      <c r="H98" s="451">
        <f>H89*D98</f>
        <v>125785.02120720276</v>
      </c>
      <c r="I98" s="451"/>
      <c r="J98" s="449">
        <f>J89*D98</f>
        <v>38075.639929517245</v>
      </c>
      <c r="K98" s="449"/>
      <c r="L98" s="449">
        <f t="shared" si="51"/>
        <v>163860.66113672001</v>
      </c>
      <c r="M98" s="449"/>
    </row>
    <row r="99" spans="1:14" x14ac:dyDescent="0.25">
      <c r="A99" s="225"/>
      <c r="B99" s="10" t="s">
        <v>177</v>
      </c>
      <c r="C99" s="117"/>
      <c r="D99" s="117">
        <v>1E-3</v>
      </c>
      <c r="E99" s="447">
        <f>D99*E89</f>
        <v>17263.878878672</v>
      </c>
      <c r="F99" s="447"/>
      <c r="G99" s="226"/>
      <c r="H99" s="451">
        <f>H89*D99</f>
        <v>12578.502120720277</v>
      </c>
      <c r="I99" s="451"/>
      <c r="J99" s="449">
        <f>J89*D99</f>
        <v>3807.5639929517242</v>
      </c>
      <c r="K99" s="449"/>
      <c r="L99" s="449">
        <f t="shared" si="51"/>
        <v>16386.066113672001</v>
      </c>
      <c r="M99" s="449"/>
    </row>
    <row r="100" spans="1:14" x14ac:dyDescent="0.25">
      <c r="A100" s="225"/>
      <c r="B100" s="10"/>
      <c r="C100" s="117"/>
      <c r="D100" s="121"/>
      <c r="E100" s="447"/>
      <c r="F100" s="447"/>
      <c r="G100" s="226"/>
      <c r="H100" s="228"/>
      <c r="I100" s="228"/>
      <c r="J100" s="229"/>
      <c r="K100" s="229"/>
      <c r="L100" s="229"/>
      <c r="M100" s="230"/>
    </row>
    <row r="101" spans="1:14" x14ac:dyDescent="0.25">
      <c r="A101" s="225"/>
      <c r="B101" s="124" t="s">
        <v>245</v>
      </c>
      <c r="C101" s="121"/>
      <c r="D101" s="1"/>
      <c r="E101" s="448">
        <f>SUM(E93:F100)</f>
        <v>3780789.4744291687</v>
      </c>
      <c r="F101" s="448"/>
      <c r="G101" s="226"/>
      <c r="H101" s="449">
        <f>SUM(H93:I100)</f>
        <v>2754691.9644377404</v>
      </c>
      <c r="I101" s="449"/>
      <c r="J101" s="449">
        <f>SUM(J93:K100)</f>
        <v>833856.51445642777</v>
      </c>
      <c r="K101" s="449"/>
      <c r="L101" s="449">
        <f t="shared" ref="L101" si="52">H101+J101</f>
        <v>3588548.478894168</v>
      </c>
      <c r="M101" s="449"/>
    </row>
    <row r="102" spans="1:14" x14ac:dyDescent="0.25">
      <c r="A102" s="225"/>
      <c r="B102" s="10"/>
      <c r="C102" s="232"/>
      <c r="D102" s="121"/>
      <c r="E102" s="118"/>
      <c r="F102" s="118"/>
      <c r="G102" s="226"/>
      <c r="H102" s="233"/>
      <c r="I102" s="233"/>
      <c r="J102" s="234"/>
      <c r="K102" s="234"/>
      <c r="L102" s="233"/>
      <c r="M102" s="233"/>
    </row>
    <row r="103" spans="1:14" x14ac:dyDescent="0.25">
      <c r="A103" s="225"/>
      <c r="B103" s="124" t="s">
        <v>246</v>
      </c>
      <c r="E103" s="448">
        <f>E89+E101</f>
        <v>21044668.353101168</v>
      </c>
      <c r="F103" s="448"/>
      <c r="G103" s="235"/>
      <c r="H103" s="450">
        <f>H101+H89</f>
        <v>15333194.085158017</v>
      </c>
      <c r="I103" s="450"/>
      <c r="J103" s="424">
        <f>J101+J89</f>
        <v>4641420.5074081523</v>
      </c>
      <c r="K103" s="424"/>
      <c r="L103" s="424">
        <f t="shared" ref="L103" si="53">H103+J103</f>
        <v>19974614.59256617</v>
      </c>
      <c r="M103" s="424"/>
      <c r="N103" s="224"/>
    </row>
    <row r="104" spans="1:14" x14ac:dyDescent="0.25">
      <c r="A104" s="225"/>
      <c r="B104" s="124"/>
      <c r="C104" s="121"/>
      <c r="D104" s="1"/>
      <c r="E104" s="231"/>
      <c r="F104" s="231"/>
      <c r="G104" s="235"/>
      <c r="H104" s="120"/>
      <c r="I104" s="120"/>
      <c r="J104" s="236"/>
      <c r="K104" s="236"/>
      <c r="L104" s="236"/>
      <c r="M104" s="236" t="s">
        <v>247</v>
      </c>
      <c r="N104" s="237">
        <f>L103/E103</f>
        <v>0.94915321341344339</v>
      </c>
    </row>
    <row r="105" spans="1:14" x14ac:dyDescent="0.25">
      <c r="A105" s="225"/>
      <c r="B105" s="10"/>
      <c r="C105" s="238"/>
      <c r="D105" s="239"/>
      <c r="E105" s="445"/>
      <c r="F105" s="445"/>
      <c r="G105" s="226"/>
      <c r="H105" s="446"/>
      <c r="I105" s="446"/>
      <c r="J105" s="446"/>
      <c r="K105" s="446"/>
      <c r="L105" s="445"/>
      <c r="M105" s="445"/>
    </row>
    <row r="106" spans="1:14" x14ac:dyDescent="0.25">
      <c r="A106" s="225"/>
      <c r="B106" s="130" t="s">
        <v>180</v>
      </c>
      <c r="C106" s="131"/>
      <c r="D106" s="9"/>
      <c r="G106" s="241"/>
      <c r="M106" s="224"/>
      <c r="N106" s="242"/>
    </row>
    <row r="107" spans="1:14" x14ac:dyDescent="0.25">
      <c r="A107" s="3"/>
      <c r="B107" s="132" t="s">
        <v>181</v>
      </c>
      <c r="C107" s="121"/>
      <c r="E107" s="243"/>
      <c r="F107" s="243"/>
      <c r="G107" s="243"/>
      <c r="H107" s="243"/>
      <c r="I107" s="243"/>
      <c r="J107" s="243"/>
      <c r="K107" s="243"/>
      <c r="L107" s="243"/>
      <c r="M107" s="243"/>
    </row>
    <row r="108" spans="1:14" x14ac:dyDescent="0.25">
      <c r="A108" s="3"/>
      <c r="B108" s="10"/>
      <c r="C108" s="3"/>
      <c r="D108" s="121"/>
      <c r="E108" s="243"/>
      <c r="F108" s="205"/>
      <c r="G108" s="243"/>
      <c r="H108" s="442"/>
      <c r="I108" s="442"/>
      <c r="J108" s="442"/>
      <c r="K108" s="442"/>
      <c r="L108" s="442"/>
      <c r="M108" s="442"/>
    </row>
    <row r="109" spans="1:14" x14ac:dyDescent="0.25">
      <c r="A109" s="3"/>
      <c r="B109" s="8"/>
      <c r="C109" s="9"/>
      <c r="D109" s="117"/>
      <c r="E109" s="243"/>
      <c r="F109" s="243"/>
      <c r="G109" s="243"/>
      <c r="H109" s="442"/>
      <c r="I109" s="442"/>
      <c r="J109" s="442"/>
      <c r="K109" s="442"/>
      <c r="L109" s="442"/>
      <c r="M109" s="442"/>
    </row>
    <row r="110" spans="1:14" x14ac:dyDescent="0.25">
      <c r="A110" s="3"/>
      <c r="B110" s="8" t="s">
        <v>182</v>
      </c>
      <c r="C110" s="9"/>
      <c r="D110" s="134">
        <v>0.2</v>
      </c>
      <c r="E110" s="245"/>
      <c r="F110" s="245"/>
      <c r="G110" s="245"/>
      <c r="H110" s="440">
        <v>2645359.2999999998</v>
      </c>
      <c r="I110" s="440"/>
      <c r="J110" s="441"/>
      <c r="K110" s="441"/>
      <c r="L110" s="444">
        <f t="shared" ref="L110" si="54">H110+J110</f>
        <v>2645359.2999999998</v>
      </c>
      <c r="M110" s="444"/>
    </row>
    <row r="111" spans="1:14" x14ac:dyDescent="0.25">
      <c r="A111" s="3"/>
      <c r="E111" s="245"/>
      <c r="F111" s="245"/>
      <c r="G111" s="245"/>
      <c r="H111" s="440"/>
      <c r="I111" s="440"/>
      <c r="J111" s="441"/>
      <c r="K111" s="441"/>
      <c r="L111" s="442"/>
      <c r="M111" s="442"/>
    </row>
    <row r="112" spans="1:14" x14ac:dyDescent="0.25">
      <c r="A112" s="3"/>
      <c r="E112" s="245"/>
      <c r="F112" s="245"/>
      <c r="G112" s="245"/>
      <c r="H112" s="118"/>
      <c r="I112" s="118"/>
      <c r="J112" s="244"/>
      <c r="K112" s="244"/>
      <c r="L112" s="244"/>
      <c r="M112" s="244"/>
    </row>
    <row r="113" spans="1:13" x14ac:dyDescent="0.25">
      <c r="A113" s="3"/>
      <c r="E113" s="245"/>
      <c r="F113" s="245"/>
      <c r="G113" s="245"/>
      <c r="H113" s="246"/>
      <c r="I113" s="243"/>
      <c r="J113" s="245"/>
      <c r="K113" s="240"/>
      <c r="L113" s="240"/>
      <c r="M113" s="240"/>
    </row>
    <row r="114" spans="1:13" x14ac:dyDescent="0.25">
      <c r="A114" s="3"/>
      <c r="B114" s="1" t="s">
        <v>248</v>
      </c>
      <c r="C114" s="9"/>
      <c r="D114" s="9"/>
      <c r="E114" s="245"/>
      <c r="F114" s="245"/>
      <c r="G114" s="245"/>
      <c r="H114" s="440">
        <f>H103-H110</f>
        <v>12687834.785158016</v>
      </c>
      <c r="I114" s="440"/>
      <c r="J114" s="443">
        <f>J103-J110</f>
        <v>4641420.5074081523</v>
      </c>
      <c r="K114" s="443"/>
      <c r="L114" s="441">
        <f t="shared" ref="L114" si="55">H114+J114</f>
        <v>17329255.292566169</v>
      </c>
      <c r="M114" s="441"/>
    </row>
    <row r="115" spans="1:13" x14ac:dyDescent="0.25">
      <c r="A115" s="3"/>
      <c r="B115" s="1"/>
      <c r="C115" s="9"/>
      <c r="D115" s="9"/>
      <c r="E115" s="245"/>
      <c r="F115" s="245"/>
      <c r="G115" s="245"/>
      <c r="H115" s="120"/>
      <c r="I115" s="120"/>
      <c r="L115" s="236"/>
      <c r="M115" s="236"/>
    </row>
    <row r="116" spans="1:13" x14ac:dyDescent="0.25">
      <c r="A116" s="3"/>
      <c r="B116" s="8"/>
      <c r="C116" s="9"/>
      <c r="D116" s="9"/>
      <c r="E116" s="9"/>
      <c r="F116" s="9"/>
      <c r="G116" s="9"/>
      <c r="H116" s="247"/>
      <c r="I116" s="248"/>
      <c r="J116" s="249"/>
      <c r="K116" s="250"/>
      <c r="L116" s="250"/>
      <c r="M116" s="251"/>
    </row>
    <row r="117" spans="1:13" x14ac:dyDescent="0.25">
      <c r="A117" s="1"/>
      <c r="B117" s="421" t="s">
        <v>184</v>
      </c>
      <c r="C117" s="421"/>
      <c r="D117" s="10"/>
      <c r="E117" s="425" t="s">
        <v>11</v>
      </c>
      <c r="F117" s="425"/>
      <c r="G117" s="425"/>
      <c r="H117" s="111"/>
      <c r="I117" s="111"/>
      <c r="J117" s="10"/>
      <c r="K117" s="421" t="s">
        <v>185</v>
      </c>
      <c r="L117" s="421"/>
      <c r="M117" s="421"/>
    </row>
    <row r="118" spans="1:13" x14ac:dyDescent="0.25">
      <c r="A118" s="1"/>
      <c r="B118" s="1"/>
      <c r="C118" s="1"/>
      <c r="D118" s="10"/>
      <c r="G118" s="10"/>
      <c r="H118" s="139"/>
      <c r="I118" s="139"/>
      <c r="J118" s="10"/>
      <c r="K118" s="1"/>
      <c r="L118" s="1"/>
      <c r="M118" s="1"/>
    </row>
    <row r="119" spans="1:13" ht="14.45" customHeight="1" x14ac:dyDescent="0.25">
      <c r="A119" s="1"/>
      <c r="B119" s="421" t="s">
        <v>186</v>
      </c>
      <c r="C119" s="421"/>
      <c r="D119" s="1"/>
      <c r="E119" s="421" t="s">
        <v>249</v>
      </c>
      <c r="F119" s="421"/>
      <c r="G119" s="421"/>
      <c r="H119" s="252"/>
      <c r="I119" s="137"/>
      <c r="J119" s="137"/>
      <c r="K119" s="253" t="s">
        <v>250</v>
      </c>
      <c r="L119" s="253"/>
      <c r="M119" s="254"/>
    </row>
    <row r="120" spans="1:13" x14ac:dyDescent="0.25">
      <c r="A120" s="1"/>
      <c r="B120" s="421" t="s">
        <v>251</v>
      </c>
      <c r="C120" s="421"/>
      <c r="D120" s="1"/>
      <c r="G120" s="1"/>
      <c r="H120" s="1"/>
      <c r="I120" s="1"/>
      <c r="J120" s="1"/>
      <c r="K120" s="421" t="s">
        <v>190</v>
      </c>
      <c r="L120" s="421"/>
      <c r="M120" s="421"/>
    </row>
    <row r="121" spans="1:13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9"/>
    </row>
  </sheetData>
  <mergeCells count="84">
    <mergeCell ref="A2:M2"/>
    <mergeCell ref="A3:M3"/>
    <mergeCell ref="C5:I5"/>
    <mergeCell ref="A9:F9"/>
    <mergeCell ref="G9:J9"/>
    <mergeCell ref="K9:M9"/>
    <mergeCell ref="H90:I90"/>
    <mergeCell ref="B80:K80"/>
    <mergeCell ref="B81:K81"/>
    <mergeCell ref="C82:I82"/>
    <mergeCell ref="E88:F88"/>
    <mergeCell ref="H88:I88"/>
    <mergeCell ref="J88:K88"/>
    <mergeCell ref="L88:M88"/>
    <mergeCell ref="E89:F89"/>
    <mergeCell ref="H89:I89"/>
    <mergeCell ref="J89:K89"/>
    <mergeCell ref="L89:M89"/>
    <mergeCell ref="E92:F92"/>
    <mergeCell ref="H92:I92"/>
    <mergeCell ref="L92:M92"/>
    <mergeCell ref="E93:F93"/>
    <mergeCell ref="H93:I93"/>
    <mergeCell ref="J93:K93"/>
    <mergeCell ref="L93:M93"/>
    <mergeCell ref="E94:F94"/>
    <mergeCell ref="H94:I94"/>
    <mergeCell ref="J94:K94"/>
    <mergeCell ref="L94:M94"/>
    <mergeCell ref="E95:F95"/>
    <mergeCell ref="H95:I95"/>
    <mergeCell ref="J95:K95"/>
    <mergeCell ref="L95:M95"/>
    <mergeCell ref="E96:F96"/>
    <mergeCell ref="H96:I96"/>
    <mergeCell ref="J96:K96"/>
    <mergeCell ref="L96:M96"/>
    <mergeCell ref="E97:F97"/>
    <mergeCell ref="H97:I97"/>
    <mergeCell ref="J97:K97"/>
    <mergeCell ref="L97:M97"/>
    <mergeCell ref="E103:F103"/>
    <mergeCell ref="H103:I103"/>
    <mergeCell ref="J103:K103"/>
    <mergeCell ref="L103:M103"/>
    <mergeCell ref="E98:F98"/>
    <mergeCell ref="H98:I98"/>
    <mergeCell ref="J98:K98"/>
    <mergeCell ref="L98:M98"/>
    <mergeCell ref="E99:F99"/>
    <mergeCell ref="H99:I99"/>
    <mergeCell ref="J99:K99"/>
    <mergeCell ref="L99:M99"/>
    <mergeCell ref="E100:F100"/>
    <mergeCell ref="E101:F101"/>
    <mergeCell ref="H101:I101"/>
    <mergeCell ref="J101:K101"/>
    <mergeCell ref="L101:M101"/>
    <mergeCell ref="E105:F105"/>
    <mergeCell ref="H105:I105"/>
    <mergeCell ref="J105:K105"/>
    <mergeCell ref="L105:M105"/>
    <mergeCell ref="H108:I108"/>
    <mergeCell ref="J108:K108"/>
    <mergeCell ref="L108:M108"/>
    <mergeCell ref="H109:I109"/>
    <mergeCell ref="J109:K109"/>
    <mergeCell ref="L109:M109"/>
    <mergeCell ref="H110:I110"/>
    <mergeCell ref="J110:K110"/>
    <mergeCell ref="L110:M110"/>
    <mergeCell ref="B120:C120"/>
    <mergeCell ref="K120:M120"/>
    <mergeCell ref="H111:I111"/>
    <mergeCell ref="J111:K111"/>
    <mergeCell ref="L111:M111"/>
    <mergeCell ref="H114:I114"/>
    <mergeCell ref="J114:K114"/>
    <mergeCell ref="L114:M114"/>
    <mergeCell ref="B117:C117"/>
    <mergeCell ref="E117:G117"/>
    <mergeCell ref="K117:M117"/>
    <mergeCell ref="B119:C119"/>
    <mergeCell ref="E119:G11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64E40-6C39-417A-A8F9-6170027D2872}">
  <dimension ref="A1"/>
  <sheetViews>
    <sheetView workbookViewId="0">
      <selection activeCell="F20" sqref="F20"/>
    </sheetView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60127-497C-4876-97AF-F0317A8EAF9C}">
  <dimension ref="A2:O274"/>
  <sheetViews>
    <sheetView workbookViewId="0">
      <selection activeCell="F8" sqref="F8"/>
    </sheetView>
  </sheetViews>
  <sheetFormatPr baseColWidth="10" defaultRowHeight="15" x14ac:dyDescent="0.25"/>
  <cols>
    <col min="1" max="1" width="9.5703125" customWidth="1"/>
    <col min="2" max="2" width="33.85546875" bestFit="1" customWidth="1"/>
    <col min="3" max="3" width="15" customWidth="1"/>
    <col min="4" max="4" width="13.7109375" customWidth="1"/>
    <col min="5" max="5" width="13.85546875" bestFit="1" customWidth="1"/>
    <col min="6" max="6" width="17.5703125" customWidth="1"/>
    <col min="8" max="8" width="8.28515625" bestFit="1" customWidth="1"/>
    <col min="10" max="10" width="14.42578125" bestFit="1" customWidth="1"/>
    <col min="11" max="11" width="15.140625" customWidth="1"/>
    <col min="12" max="12" width="15" customWidth="1"/>
    <col min="13" max="13" width="16.28515625" customWidth="1"/>
    <col min="14" max="14" width="21.85546875" bestFit="1" customWidth="1"/>
    <col min="15" max="15" width="11.140625" bestFit="1" customWidth="1"/>
  </cols>
  <sheetData>
    <row r="2" spans="1:14" x14ac:dyDescent="0.25">
      <c r="A2" s="421" t="s">
        <v>0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</row>
    <row r="3" spans="1:14" x14ac:dyDescent="0.25">
      <c r="A3" s="434" t="s">
        <v>1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</row>
    <row r="4" spans="1:14" x14ac:dyDescent="0.25">
      <c r="A4" s="2"/>
      <c r="B4" s="2"/>
      <c r="C4" s="2"/>
      <c r="D4" s="255"/>
      <c r="E4" s="256"/>
      <c r="F4" s="256"/>
      <c r="G4" s="2"/>
      <c r="H4" s="2"/>
      <c r="I4" s="2"/>
      <c r="J4" s="2"/>
      <c r="K4" s="2"/>
      <c r="L4" s="2"/>
      <c r="M4" s="9" t="s">
        <v>191</v>
      </c>
    </row>
    <row r="5" spans="1:14" x14ac:dyDescent="0.25">
      <c r="A5" s="1"/>
      <c r="B5" s="1"/>
      <c r="C5" s="1"/>
      <c r="D5" s="257"/>
      <c r="E5" s="244"/>
      <c r="F5" s="244"/>
      <c r="G5" s="1"/>
      <c r="H5" s="1"/>
      <c r="I5" s="1"/>
      <c r="J5" s="1"/>
      <c r="K5" s="1"/>
      <c r="L5" s="1"/>
      <c r="M5" s="3"/>
    </row>
    <row r="6" spans="1:14" x14ac:dyDescent="0.25">
      <c r="A6" s="3"/>
      <c r="B6" s="4" t="s">
        <v>2</v>
      </c>
      <c r="C6" s="10" t="s">
        <v>252</v>
      </c>
      <c r="D6" s="258"/>
      <c r="E6" s="205"/>
      <c r="F6" s="205"/>
      <c r="G6" s="6"/>
      <c r="H6" s="3"/>
      <c r="I6" s="3"/>
      <c r="J6" s="3"/>
      <c r="K6" s="3"/>
      <c r="L6" s="4" t="s">
        <v>4</v>
      </c>
      <c r="M6" s="7">
        <v>37129330.140000001</v>
      </c>
    </row>
    <row r="7" spans="1:14" x14ac:dyDescent="0.25">
      <c r="A7" s="3"/>
      <c r="B7" s="4" t="s">
        <v>5</v>
      </c>
      <c r="C7" s="8">
        <v>5</v>
      </c>
      <c r="D7" s="259"/>
      <c r="E7" s="205"/>
      <c r="F7" s="205"/>
      <c r="G7" s="260"/>
      <c r="H7" s="261"/>
      <c r="I7" s="262"/>
      <c r="J7" s="243"/>
      <c r="K7" s="3"/>
      <c r="L7" s="4" t="s">
        <v>6</v>
      </c>
      <c r="M7" s="7" t="s">
        <v>253</v>
      </c>
    </row>
    <row r="8" spans="1:14" x14ac:dyDescent="0.25">
      <c r="A8" s="3"/>
      <c r="B8" s="4" t="s">
        <v>7</v>
      </c>
      <c r="C8" s="263" t="s">
        <v>254</v>
      </c>
      <c r="D8" s="258"/>
      <c r="E8" s="205"/>
      <c r="F8" s="205"/>
      <c r="G8" s="264"/>
      <c r="H8" s="3"/>
      <c r="I8" s="261"/>
      <c r="J8" s="3"/>
      <c r="K8" s="3"/>
      <c r="L8" s="4" t="s">
        <v>9</v>
      </c>
      <c r="M8" s="12" t="s">
        <v>255</v>
      </c>
    </row>
    <row r="9" spans="1:14" x14ac:dyDescent="0.25">
      <c r="A9" s="3"/>
      <c r="B9" s="4" t="s">
        <v>11</v>
      </c>
      <c r="C9" s="10" t="s">
        <v>256</v>
      </c>
      <c r="D9" s="258"/>
      <c r="E9" s="205"/>
      <c r="F9" s="205"/>
      <c r="G9" s="10"/>
      <c r="H9" s="3"/>
      <c r="I9" s="3"/>
      <c r="J9" s="3"/>
      <c r="K9" s="3"/>
      <c r="L9" s="3"/>
      <c r="M9" s="3"/>
    </row>
    <row r="10" spans="1:14" x14ac:dyDescent="0.25">
      <c r="A10" s="437" t="s">
        <v>13</v>
      </c>
      <c r="B10" s="437"/>
      <c r="C10" s="437"/>
      <c r="D10" s="437"/>
      <c r="E10" s="437"/>
      <c r="F10" s="437"/>
      <c r="G10" s="482" t="s">
        <v>14</v>
      </c>
      <c r="H10" s="482"/>
      <c r="I10" s="482"/>
      <c r="J10" s="482"/>
      <c r="K10" s="483" t="s">
        <v>15</v>
      </c>
      <c r="L10" s="483"/>
      <c r="M10" s="483"/>
    </row>
    <row r="11" spans="1:14" ht="36.75" x14ac:dyDescent="0.25">
      <c r="A11" s="265" t="s">
        <v>16</v>
      </c>
      <c r="B11" s="266" t="s">
        <v>17</v>
      </c>
      <c r="C11" s="266" t="s">
        <v>18</v>
      </c>
      <c r="D11" s="267" t="s">
        <v>19</v>
      </c>
      <c r="E11" s="268" t="s">
        <v>20</v>
      </c>
      <c r="F11" s="268" t="s">
        <v>21</v>
      </c>
      <c r="G11" s="269" t="s">
        <v>22</v>
      </c>
      <c r="H11" s="269" t="s">
        <v>23</v>
      </c>
      <c r="I11" s="270" t="s">
        <v>24</v>
      </c>
      <c r="J11" s="271" t="s">
        <v>25</v>
      </c>
      <c r="K11" s="272" t="s">
        <v>22</v>
      </c>
      <c r="L11" s="273" t="s">
        <v>23</v>
      </c>
      <c r="M11" s="273" t="s">
        <v>24</v>
      </c>
    </row>
    <row r="12" spans="1:14" x14ac:dyDescent="0.25">
      <c r="A12" s="274" t="s">
        <v>98</v>
      </c>
      <c r="B12" s="71" t="s">
        <v>257</v>
      </c>
      <c r="C12" s="275"/>
      <c r="D12" s="276"/>
      <c r="E12" s="277"/>
      <c r="F12" s="278">
        <f>F19+F22+F29+F33+0.01</f>
        <v>5197422.5136178704</v>
      </c>
      <c r="G12" s="279"/>
      <c r="H12" s="279"/>
      <c r="I12" s="280"/>
      <c r="J12" s="281"/>
      <c r="K12" s="282"/>
      <c r="L12" s="283"/>
      <c r="M12" s="283"/>
    </row>
    <row r="13" spans="1:14" x14ac:dyDescent="0.25">
      <c r="A13" s="284">
        <v>1</v>
      </c>
      <c r="B13" s="71" t="s">
        <v>26</v>
      </c>
      <c r="C13" s="275"/>
      <c r="D13" s="285"/>
      <c r="E13" s="277"/>
      <c r="F13" s="277"/>
      <c r="G13" s="279"/>
      <c r="H13" s="286"/>
      <c r="I13" s="287"/>
      <c r="J13" s="288"/>
      <c r="K13" s="289"/>
      <c r="L13" s="283"/>
      <c r="M13" s="283"/>
    </row>
    <row r="14" spans="1:14" x14ac:dyDescent="0.25">
      <c r="A14" s="290">
        <f>A13+0.01</f>
        <v>1.01</v>
      </c>
      <c r="B14" s="25" t="s">
        <v>258</v>
      </c>
      <c r="C14" s="291" t="s">
        <v>33</v>
      </c>
      <c r="D14" s="285">
        <v>609.63</v>
      </c>
      <c r="E14" s="292">
        <v>91.949974999999995</v>
      </c>
      <c r="F14" s="292">
        <f>D14*E14</f>
        <v>56055.463259249998</v>
      </c>
      <c r="G14" s="286">
        <v>609.63</v>
      </c>
      <c r="H14" s="286">
        <f>D14-G14</f>
        <v>0</v>
      </c>
      <c r="I14" s="287">
        <f>SUM(G14+H14)</f>
        <v>609.63</v>
      </c>
      <c r="J14" s="288">
        <f>I14/D14</f>
        <v>1</v>
      </c>
      <c r="K14" s="283">
        <f>E14*G14</f>
        <v>56055.463259249998</v>
      </c>
      <c r="L14" s="283">
        <f>H14*E14</f>
        <v>0</v>
      </c>
      <c r="M14" s="283">
        <f>K14+L14</f>
        <v>56055.463259249998</v>
      </c>
      <c r="N14" s="293"/>
    </row>
    <row r="15" spans="1:14" x14ac:dyDescent="0.25">
      <c r="A15" s="290">
        <f t="shared" ref="A15:A18" si="0">A14+0.01</f>
        <v>1.02</v>
      </c>
      <c r="B15" s="294" t="s">
        <v>259</v>
      </c>
      <c r="C15" s="291" t="s">
        <v>260</v>
      </c>
      <c r="D15" s="285">
        <v>18</v>
      </c>
      <c r="E15" s="277">
        <v>40000</v>
      </c>
      <c r="F15" s="292">
        <f>D15*E15</f>
        <v>720000</v>
      </c>
      <c r="G15" s="286">
        <v>12</v>
      </c>
      <c r="H15" s="286"/>
      <c r="I15" s="287">
        <f t="shared" ref="I15:I18" si="1">SUM(G15+H15)</f>
        <v>12</v>
      </c>
      <c r="J15" s="288">
        <f t="shared" ref="J15:J18" si="2">I15/D15</f>
        <v>0.66666666666666663</v>
      </c>
      <c r="K15" s="283">
        <f>E15*G15</f>
        <v>480000</v>
      </c>
      <c r="L15" s="283">
        <f t="shared" ref="L15:L17" si="3">H15*E15</f>
        <v>0</v>
      </c>
      <c r="M15" s="283">
        <f t="shared" ref="M15:M19" si="4">K15+L15</f>
        <v>480000</v>
      </c>
      <c r="N15" s="293"/>
    </row>
    <row r="16" spans="1:14" x14ac:dyDescent="0.25">
      <c r="A16" s="290">
        <f t="shared" si="0"/>
        <v>1.03</v>
      </c>
      <c r="B16" s="294" t="s">
        <v>261</v>
      </c>
      <c r="C16" s="291" t="s">
        <v>79</v>
      </c>
      <c r="D16" s="285">
        <v>1</v>
      </c>
      <c r="E16" s="277">
        <v>30848</v>
      </c>
      <c r="F16" s="292">
        <f t="shared" ref="F16:F18" si="5">D16*E16</f>
        <v>30848</v>
      </c>
      <c r="G16" s="286">
        <v>1</v>
      </c>
      <c r="H16" s="286"/>
      <c r="I16" s="287">
        <f t="shared" si="1"/>
        <v>1</v>
      </c>
      <c r="J16" s="288">
        <f t="shared" si="2"/>
        <v>1</v>
      </c>
      <c r="K16" s="283">
        <f t="shared" ref="K16:K21" si="6">E16*G16</f>
        <v>30848</v>
      </c>
      <c r="L16" s="283">
        <f t="shared" si="3"/>
        <v>0</v>
      </c>
      <c r="M16" s="283">
        <f t="shared" si="4"/>
        <v>30848</v>
      </c>
      <c r="N16" s="293"/>
    </row>
    <row r="17" spans="1:14" x14ac:dyDescent="0.25">
      <c r="A17" s="290">
        <f t="shared" si="0"/>
        <v>1.04</v>
      </c>
      <c r="B17" s="25" t="s">
        <v>262</v>
      </c>
      <c r="C17" s="291" t="s">
        <v>33</v>
      </c>
      <c r="D17" s="291">
        <v>1665.64</v>
      </c>
      <c r="E17" s="277">
        <v>117</v>
      </c>
      <c r="F17" s="292">
        <f t="shared" si="5"/>
        <v>194879.88</v>
      </c>
      <c r="G17" s="286">
        <v>1665.64</v>
      </c>
      <c r="H17" s="286"/>
      <c r="I17" s="287">
        <f t="shared" si="1"/>
        <v>1665.64</v>
      </c>
      <c r="J17" s="288">
        <f t="shared" si="2"/>
        <v>1</v>
      </c>
      <c r="K17" s="283">
        <f t="shared" si="6"/>
        <v>194879.88</v>
      </c>
      <c r="L17" s="283">
        <f t="shared" si="3"/>
        <v>0</v>
      </c>
      <c r="M17" s="283">
        <f t="shared" si="4"/>
        <v>194879.88</v>
      </c>
      <c r="N17" s="293"/>
    </row>
    <row r="18" spans="1:14" ht="24" x14ac:dyDescent="0.25">
      <c r="A18" s="290">
        <f t="shared" si="0"/>
        <v>1.05</v>
      </c>
      <c r="B18" s="294" t="s">
        <v>263</v>
      </c>
      <c r="C18" s="291" t="s">
        <v>79</v>
      </c>
      <c r="D18" s="285">
        <v>1</v>
      </c>
      <c r="E18" s="277">
        <v>156807.6</v>
      </c>
      <c r="F18" s="292">
        <f t="shared" si="5"/>
        <v>156807.6</v>
      </c>
      <c r="G18" s="286">
        <v>1</v>
      </c>
      <c r="H18" s="286"/>
      <c r="I18" s="287">
        <f t="shared" si="1"/>
        <v>1</v>
      </c>
      <c r="J18" s="288">
        <f t="shared" si="2"/>
        <v>1</v>
      </c>
      <c r="K18" s="283">
        <f t="shared" si="6"/>
        <v>156807.6</v>
      </c>
      <c r="L18" s="295"/>
      <c r="M18" s="295">
        <f t="shared" si="4"/>
        <v>156807.6</v>
      </c>
      <c r="N18" s="293"/>
    </row>
    <row r="19" spans="1:14" x14ac:dyDescent="0.25">
      <c r="A19" s="290"/>
      <c r="B19" s="25"/>
      <c r="C19" s="291"/>
      <c r="D19" s="285"/>
      <c r="E19" s="277"/>
      <c r="F19" s="278">
        <f>SUM(F14:F18)</f>
        <v>1158590.9432592501</v>
      </c>
      <c r="G19" s="286"/>
      <c r="H19" s="286"/>
      <c r="I19" s="287"/>
      <c r="J19" s="288"/>
      <c r="K19" s="296">
        <f>SUM(K13:K18)</f>
        <v>918590.94325925002</v>
      </c>
      <c r="L19" s="295">
        <f>SUM(L14:L18)</f>
        <v>0</v>
      </c>
      <c r="M19" s="295">
        <f t="shared" si="4"/>
        <v>918590.94325925002</v>
      </c>
    </row>
    <row r="20" spans="1:14" x14ac:dyDescent="0.25">
      <c r="A20" s="284">
        <v>2</v>
      </c>
      <c r="B20" s="71" t="s">
        <v>264</v>
      </c>
      <c r="C20" s="297"/>
      <c r="D20" s="285"/>
      <c r="E20" s="277"/>
      <c r="F20" s="277"/>
      <c r="G20" s="298"/>
      <c r="H20" s="298"/>
      <c r="I20" s="287"/>
      <c r="J20" s="288"/>
      <c r="K20" s="296"/>
      <c r="L20" s="295"/>
      <c r="M20" s="295"/>
    </row>
    <row r="21" spans="1:14" ht="16.5" customHeight="1" x14ac:dyDescent="0.25">
      <c r="A21" s="290">
        <f>A20+0.01</f>
        <v>2.0099999999999998</v>
      </c>
      <c r="B21" s="275" t="s">
        <v>265</v>
      </c>
      <c r="C21" s="291" t="s">
        <v>33</v>
      </c>
      <c r="D21" s="285">
        <v>609.63</v>
      </c>
      <c r="E21" s="277">
        <v>5766.7710250479804</v>
      </c>
      <c r="F21" s="277">
        <f>D21*E21</f>
        <v>3515596.62</v>
      </c>
      <c r="G21" s="286">
        <v>609.63</v>
      </c>
      <c r="H21" s="286">
        <f>D21-G21</f>
        <v>0</v>
      </c>
      <c r="I21" s="287">
        <f>SUM(G21+H21)</f>
        <v>609.63</v>
      </c>
      <c r="J21" s="288">
        <f>I21/D21</f>
        <v>1</v>
      </c>
      <c r="K21" s="283">
        <f t="shared" si="6"/>
        <v>3515596.62</v>
      </c>
      <c r="L21" s="283"/>
      <c r="M21" s="283">
        <f>K21+L21</f>
        <v>3515596.62</v>
      </c>
      <c r="N21" s="224"/>
    </row>
    <row r="22" spans="1:14" ht="16.5" customHeight="1" x14ac:dyDescent="0.25">
      <c r="A22" s="290"/>
      <c r="B22" s="71" t="s">
        <v>266</v>
      </c>
      <c r="C22" s="299"/>
      <c r="D22" s="300"/>
      <c r="E22" s="278"/>
      <c r="F22" s="278">
        <f>SUM(F21)</f>
        <v>3515596.62</v>
      </c>
      <c r="G22" s="286"/>
      <c r="H22" s="286"/>
      <c r="I22" s="287"/>
      <c r="J22" s="288"/>
      <c r="K22" s="301">
        <f>SUM(K21)</f>
        <v>3515596.62</v>
      </c>
      <c r="L22" s="295">
        <f>SUM(L20:L20)</f>
        <v>0</v>
      </c>
      <c r="M22" s="295">
        <f>K22+L22</f>
        <v>3515596.62</v>
      </c>
    </row>
    <row r="23" spans="1:14" x14ac:dyDescent="0.25">
      <c r="A23" s="290"/>
      <c r="B23" s="290"/>
      <c r="C23" s="290"/>
      <c r="D23" s="290"/>
      <c r="E23" s="290"/>
      <c r="F23" s="290"/>
      <c r="G23" s="298"/>
      <c r="H23" s="298"/>
      <c r="I23" s="287"/>
      <c r="J23" s="288"/>
      <c r="K23" s="301"/>
      <c r="L23" s="295"/>
      <c r="M23" s="295"/>
    </row>
    <row r="24" spans="1:14" x14ac:dyDescent="0.25">
      <c r="A24" s="284">
        <v>3</v>
      </c>
      <c r="B24" s="71" t="s">
        <v>267</v>
      </c>
      <c r="C24" s="291"/>
      <c r="D24" s="285"/>
      <c r="E24" s="277"/>
      <c r="F24" s="277"/>
      <c r="G24" s="298"/>
      <c r="H24" s="298"/>
      <c r="I24" s="302"/>
      <c r="J24" s="288"/>
      <c r="K24" s="289"/>
      <c r="L24" s="283"/>
      <c r="M24" s="283"/>
    </row>
    <row r="25" spans="1:14" x14ac:dyDescent="0.25">
      <c r="A25" s="290">
        <v>3.01</v>
      </c>
      <c r="B25" s="25" t="s">
        <v>141</v>
      </c>
      <c r="C25" s="291" t="s">
        <v>38</v>
      </c>
      <c r="D25" s="277">
        <v>760.82</v>
      </c>
      <c r="E25" s="292">
        <v>258.15621303330613</v>
      </c>
      <c r="F25" s="292">
        <f t="shared" ref="F25:F89" si="7">D25*E25</f>
        <v>196410.40999999997</v>
      </c>
      <c r="G25" s="286">
        <v>760.82</v>
      </c>
      <c r="H25" s="286">
        <f>D25-G25</f>
        <v>0</v>
      </c>
      <c r="I25" s="287">
        <f>SUM(G25+H25)</f>
        <v>760.82</v>
      </c>
      <c r="J25" s="288">
        <f>I25/D25</f>
        <v>1</v>
      </c>
      <c r="K25" s="283">
        <f>G25*E25</f>
        <v>196410.40999999997</v>
      </c>
      <c r="L25" s="283">
        <f>H25*E25</f>
        <v>0</v>
      </c>
      <c r="M25" s="283">
        <f>K25+L25</f>
        <v>196410.40999999997</v>
      </c>
    </row>
    <row r="26" spans="1:14" x14ac:dyDescent="0.25">
      <c r="A26" s="290">
        <v>3.02</v>
      </c>
      <c r="B26" s="275" t="s">
        <v>268</v>
      </c>
      <c r="C26" s="291" t="s">
        <v>38</v>
      </c>
      <c r="D26" s="277">
        <v>121.93</v>
      </c>
      <c r="E26" s="277">
        <v>1285.7902074961041</v>
      </c>
      <c r="F26" s="292">
        <f t="shared" si="7"/>
        <v>156776.4</v>
      </c>
      <c r="G26" s="286">
        <v>121.92729</v>
      </c>
      <c r="H26" s="303"/>
      <c r="I26" s="287">
        <f>SUM(G26+H26)</f>
        <v>121.92729</v>
      </c>
      <c r="J26" s="288">
        <f>I26/D26</f>
        <v>0.99997777413269906</v>
      </c>
      <c r="K26" s="283">
        <v>156776.4</v>
      </c>
      <c r="L26" s="283">
        <f>H26*E26</f>
        <v>0</v>
      </c>
      <c r="M26" s="283">
        <f>K26+L26</f>
        <v>156776.4</v>
      </c>
    </row>
    <row r="27" spans="1:14" x14ac:dyDescent="0.25">
      <c r="A27" s="304">
        <v>3.03</v>
      </c>
      <c r="B27" s="25" t="s">
        <v>104</v>
      </c>
      <c r="C27" s="291" t="s">
        <v>38</v>
      </c>
      <c r="D27" s="277">
        <v>200.03</v>
      </c>
      <c r="E27" s="292">
        <v>200.60880900000001</v>
      </c>
      <c r="F27" s="277">
        <f t="shared" si="7"/>
        <v>40127.780064270002</v>
      </c>
      <c r="G27" s="302">
        <v>200.03</v>
      </c>
      <c r="H27" s="305">
        <f>D27-G27</f>
        <v>0</v>
      </c>
      <c r="I27" s="287">
        <f t="shared" ref="I27:I28" si="8">SUM(G27+H27)</f>
        <v>200.03</v>
      </c>
      <c r="J27" s="288">
        <f t="shared" ref="J27:J28" si="9">I27/D27</f>
        <v>1</v>
      </c>
      <c r="K27" s="283">
        <f>G27*E27</f>
        <v>40127.780064270002</v>
      </c>
      <c r="L27" s="283">
        <f t="shared" ref="L27:L28" si="10">H27*E27</f>
        <v>0</v>
      </c>
      <c r="M27" s="283">
        <f>K27+L27</f>
        <v>40127.780064270002</v>
      </c>
      <c r="N27" s="306"/>
    </row>
    <row r="28" spans="1:14" ht="24.75" x14ac:dyDescent="0.25">
      <c r="A28" s="304">
        <v>3.04</v>
      </c>
      <c r="B28" s="275" t="s">
        <v>269</v>
      </c>
      <c r="C28" s="291" t="s">
        <v>38</v>
      </c>
      <c r="D28" s="277">
        <v>606.95000000000005</v>
      </c>
      <c r="E28" s="292">
        <v>132.37273300000001</v>
      </c>
      <c r="F28" s="292">
        <f t="shared" si="7"/>
        <v>80343.63029435002</v>
      </c>
      <c r="G28" s="286">
        <v>606.95000000000005</v>
      </c>
      <c r="H28" s="286">
        <f t="shared" ref="H28" si="11">D28-G28</f>
        <v>0</v>
      </c>
      <c r="I28" s="287">
        <f t="shared" si="8"/>
        <v>606.95000000000005</v>
      </c>
      <c r="J28" s="288">
        <f t="shared" si="9"/>
        <v>1</v>
      </c>
      <c r="K28" s="283">
        <f>G28*E28</f>
        <v>80343.63029435002</v>
      </c>
      <c r="L28" s="283">
        <f t="shared" si="10"/>
        <v>0</v>
      </c>
      <c r="M28" s="283">
        <f>K28+L28</f>
        <v>80343.63029435002</v>
      </c>
    </row>
    <row r="29" spans="1:14" x14ac:dyDescent="0.25">
      <c r="A29" s="304"/>
      <c r="B29" s="71" t="s">
        <v>266</v>
      </c>
      <c r="C29" s="307"/>
      <c r="D29" s="300"/>
      <c r="E29" s="278"/>
      <c r="F29" s="278">
        <f>SUM(F25:F28)</f>
        <v>473658.22035861999</v>
      </c>
      <c r="G29" s="302"/>
      <c r="H29" s="298"/>
      <c r="I29" s="302"/>
      <c r="J29" s="288"/>
      <c r="K29" s="296">
        <f>SUM(K25:K28)</f>
        <v>473658.22035861999</v>
      </c>
      <c r="L29" s="295">
        <f>SUM(L25:L28)</f>
        <v>0</v>
      </c>
      <c r="M29" s="295">
        <f>SUM(M25:M28)</f>
        <v>473658.22035861999</v>
      </c>
    </row>
    <row r="30" spans="1:14" x14ac:dyDescent="0.25">
      <c r="A30" s="284">
        <v>4</v>
      </c>
      <c r="B30" s="24" t="s">
        <v>270</v>
      </c>
      <c r="C30" s="297"/>
      <c r="D30" s="285"/>
      <c r="E30" s="277"/>
      <c r="F30" s="277"/>
      <c r="G30" s="302"/>
      <c r="H30" s="298"/>
      <c r="I30" s="302"/>
      <c r="J30" s="288"/>
      <c r="K30" s="289"/>
      <c r="L30" s="283"/>
      <c r="M30" s="283"/>
    </row>
    <row r="31" spans="1:14" ht="24.75" x14ac:dyDescent="0.25">
      <c r="A31" s="290">
        <v>4.01</v>
      </c>
      <c r="B31" s="275" t="s">
        <v>271</v>
      </c>
      <c r="C31" s="291" t="s">
        <v>18</v>
      </c>
      <c r="D31" s="285">
        <v>6</v>
      </c>
      <c r="E31" s="277">
        <v>3290.49</v>
      </c>
      <c r="F31" s="277">
        <f t="shared" si="7"/>
        <v>19742.939999999999</v>
      </c>
      <c r="G31" s="279">
        <v>6</v>
      </c>
      <c r="H31" s="279"/>
      <c r="I31" s="287">
        <f t="shared" ref="I31:I32" si="12">SUM(G31+H31)</f>
        <v>6</v>
      </c>
      <c r="J31" s="288">
        <f t="shared" ref="J31:J32" si="13">I31/D31</f>
        <v>1</v>
      </c>
      <c r="K31" s="283">
        <f>E31*G31</f>
        <v>19742.939999999999</v>
      </c>
      <c r="L31" s="283">
        <f t="shared" ref="L31:L32" si="14">H31*E31</f>
        <v>0</v>
      </c>
      <c r="M31" s="283">
        <f>K31+L31</f>
        <v>19742.939999999999</v>
      </c>
    </row>
    <row r="32" spans="1:14" ht="24.75" x14ac:dyDescent="0.25">
      <c r="A32" s="290">
        <v>4.0199999999999996</v>
      </c>
      <c r="B32" s="275" t="s">
        <v>272</v>
      </c>
      <c r="C32" s="291" t="s">
        <v>18</v>
      </c>
      <c r="D32" s="285">
        <v>8</v>
      </c>
      <c r="E32" s="277">
        <f>29833.78/D32</f>
        <v>3729.2224999999999</v>
      </c>
      <c r="F32" s="277">
        <f t="shared" si="7"/>
        <v>29833.78</v>
      </c>
      <c r="G32" s="279">
        <v>8</v>
      </c>
      <c r="H32" s="279"/>
      <c r="I32" s="287">
        <f t="shared" si="12"/>
        <v>8</v>
      </c>
      <c r="J32" s="288">
        <f t="shared" si="13"/>
        <v>1</v>
      </c>
      <c r="K32" s="283">
        <f>E32*G32</f>
        <v>29833.78</v>
      </c>
      <c r="L32" s="283">
        <f t="shared" si="14"/>
        <v>0</v>
      </c>
      <c r="M32" s="283">
        <f>K32+L32</f>
        <v>29833.78</v>
      </c>
    </row>
    <row r="33" spans="1:15" x14ac:dyDescent="0.25">
      <c r="A33" s="290"/>
      <c r="B33" s="71" t="s">
        <v>266</v>
      </c>
      <c r="C33" s="299"/>
      <c r="D33" s="300"/>
      <c r="E33" s="278"/>
      <c r="F33" s="278">
        <f>SUM(F31:F32)</f>
        <v>49576.72</v>
      </c>
      <c r="G33" s="279"/>
      <c r="H33" s="279"/>
      <c r="I33" s="287"/>
      <c r="J33" s="288"/>
      <c r="K33" s="301">
        <f>SUM(K31:K32)</f>
        <v>49576.72</v>
      </c>
      <c r="L33" s="295">
        <f>SUM(L31:L32)</f>
        <v>0</v>
      </c>
      <c r="M33" s="295">
        <f>K33+L33</f>
        <v>49576.72</v>
      </c>
    </row>
    <row r="34" spans="1:15" x14ac:dyDescent="0.25">
      <c r="A34" s="284" t="s">
        <v>30</v>
      </c>
      <c r="B34" s="24" t="s">
        <v>273</v>
      </c>
      <c r="C34" s="291"/>
      <c r="D34" s="285"/>
      <c r="E34" s="277"/>
      <c r="F34" s="277"/>
      <c r="G34" s="279"/>
      <c r="H34" s="279"/>
      <c r="I34" s="287"/>
      <c r="J34" s="288"/>
      <c r="K34" s="282"/>
      <c r="L34" s="283"/>
      <c r="M34" s="283"/>
    </row>
    <row r="35" spans="1:15" x14ac:dyDescent="0.25">
      <c r="A35" s="304">
        <v>1</v>
      </c>
      <c r="B35" s="308" t="s">
        <v>258</v>
      </c>
      <c r="C35" s="291" t="s">
        <v>33</v>
      </c>
      <c r="D35" s="285">
        <v>1312</v>
      </c>
      <c r="E35" s="277">
        <v>91.949969653724395</v>
      </c>
      <c r="F35" s="309">
        <f t="shared" si="7"/>
        <v>120638.36018568641</v>
      </c>
      <c r="G35" s="310">
        <v>1312</v>
      </c>
      <c r="H35" s="286">
        <f>D35-G35</f>
        <v>0</v>
      </c>
      <c r="I35" s="287">
        <f t="shared" ref="I35" si="15">SUM(G35+H35)</f>
        <v>1312</v>
      </c>
      <c r="J35" s="288">
        <f t="shared" ref="J35" si="16">I35/D35</f>
        <v>1</v>
      </c>
      <c r="K35" s="311">
        <f>E35*G35</f>
        <v>120638.36018568641</v>
      </c>
      <c r="L35" s="283">
        <f>H35*E35</f>
        <v>0</v>
      </c>
      <c r="M35" s="283">
        <f>K35+L35</f>
        <v>120638.36018568641</v>
      </c>
    </row>
    <row r="36" spans="1:15" x14ac:dyDescent="0.25">
      <c r="A36" s="304"/>
      <c r="B36" s="308"/>
      <c r="C36" s="291"/>
      <c r="D36" s="285"/>
      <c r="E36" s="277"/>
      <c r="F36" s="278">
        <f>SUM(F35)</f>
        <v>120638.36018568641</v>
      </c>
      <c r="G36" s="279"/>
      <c r="H36" s="286"/>
      <c r="I36" s="287"/>
      <c r="J36" s="288"/>
      <c r="K36" s="312">
        <f>SUM(K35)</f>
        <v>120638.36018568641</v>
      </c>
      <c r="L36" s="295">
        <f>SUM(L35)</f>
        <v>0</v>
      </c>
      <c r="M36" s="295">
        <f>K36+L36</f>
        <v>120638.36018568641</v>
      </c>
    </row>
    <row r="37" spans="1:15" x14ac:dyDescent="0.25">
      <c r="A37" s="284">
        <v>2</v>
      </c>
      <c r="B37" s="71" t="s">
        <v>274</v>
      </c>
      <c r="C37" s="291"/>
      <c r="D37" s="285"/>
      <c r="E37" s="277"/>
      <c r="F37" s="277"/>
      <c r="G37" s="279"/>
      <c r="H37" s="279"/>
      <c r="I37" s="287"/>
      <c r="J37" s="313"/>
      <c r="K37" s="283">
        <f>G37*D37</f>
        <v>0</v>
      </c>
      <c r="L37" s="283">
        <f>H37*E37</f>
        <v>0</v>
      </c>
      <c r="M37" s="283">
        <f>I37*F37</f>
        <v>0</v>
      </c>
      <c r="N37" s="314"/>
    </row>
    <row r="38" spans="1:15" ht="24.75" x14ac:dyDescent="0.25">
      <c r="A38" s="290">
        <v>2.0099999999999998</v>
      </c>
      <c r="B38" s="275" t="s">
        <v>275</v>
      </c>
      <c r="C38" s="291" t="s">
        <v>33</v>
      </c>
      <c r="D38" s="285">
        <v>1312</v>
      </c>
      <c r="E38" s="277">
        <v>5766.7710250479804</v>
      </c>
      <c r="F38" s="277">
        <f t="shared" si="7"/>
        <v>7566003.5848629503</v>
      </c>
      <c r="G38" s="279">
        <v>1312</v>
      </c>
      <c r="H38" s="286">
        <f>D38-G38</f>
        <v>0</v>
      </c>
      <c r="I38" s="287">
        <f t="shared" ref="I38" si="17">SUM(G38+H38)</f>
        <v>1312</v>
      </c>
      <c r="J38" s="288">
        <f t="shared" ref="J38" si="18">I38/D38</f>
        <v>1</v>
      </c>
      <c r="K38" s="283">
        <f>E38*G38</f>
        <v>7566003.5848629503</v>
      </c>
      <c r="L38" s="283">
        <f>H38*E38</f>
        <v>0</v>
      </c>
      <c r="M38" s="283">
        <f>K38+L38</f>
        <v>7566003.5848629503</v>
      </c>
    </row>
    <row r="39" spans="1:15" x14ac:dyDescent="0.25">
      <c r="A39" s="290"/>
      <c r="B39" s="71" t="s">
        <v>266</v>
      </c>
      <c r="C39" s="307"/>
      <c r="D39" s="300"/>
      <c r="E39" s="278"/>
      <c r="F39" s="278">
        <f>SUM(F38)</f>
        <v>7566003.5848629503</v>
      </c>
      <c r="G39" s="279"/>
      <c r="H39" s="279"/>
      <c r="I39" s="287"/>
      <c r="J39" s="288"/>
      <c r="K39" s="295">
        <f>SUM(K38)</f>
        <v>7566003.5848629503</v>
      </c>
      <c r="L39" s="295">
        <f>SUM(L38)</f>
        <v>0</v>
      </c>
      <c r="M39" s="295">
        <f>K39+L39</f>
        <v>7566003.5848629503</v>
      </c>
    </row>
    <row r="40" spans="1:15" x14ac:dyDescent="0.25">
      <c r="A40" s="284">
        <v>3</v>
      </c>
      <c r="B40" s="24" t="s">
        <v>267</v>
      </c>
      <c r="C40" s="297"/>
      <c r="D40" s="285"/>
      <c r="E40" s="277"/>
      <c r="F40" s="277"/>
      <c r="G40" s="279"/>
      <c r="H40" s="279"/>
      <c r="I40" s="287"/>
      <c r="J40" s="288"/>
      <c r="K40" s="283"/>
      <c r="L40" s="283"/>
      <c r="M40" s="283"/>
    </row>
    <row r="41" spans="1:15" x14ac:dyDescent="0.25">
      <c r="A41" s="290">
        <v>3.01</v>
      </c>
      <c r="B41" s="275" t="s">
        <v>141</v>
      </c>
      <c r="C41" s="291" t="s">
        <v>38</v>
      </c>
      <c r="D41" s="277">
        <v>1637.38</v>
      </c>
      <c r="E41" s="292">
        <v>258.15618243779699</v>
      </c>
      <c r="F41" s="277">
        <f t="shared" si="7"/>
        <v>422699.77000000008</v>
      </c>
      <c r="G41" s="279">
        <v>1108.24</v>
      </c>
      <c r="H41" s="279"/>
      <c r="I41" s="287">
        <f t="shared" ref="I41:I44" si="19">SUM(G41+H41)</f>
        <v>1108.24</v>
      </c>
      <c r="J41" s="288">
        <f t="shared" ref="J41:J44" si="20">I41/D41</f>
        <v>0.676837386556572</v>
      </c>
      <c r="K41" s="283">
        <f>E41*G41</f>
        <v>286099.00762486411</v>
      </c>
      <c r="L41" s="283">
        <f>H41*E41</f>
        <v>0</v>
      </c>
      <c r="M41" s="283">
        <f>K41+L41</f>
        <v>286099.00762486411</v>
      </c>
    </row>
    <row r="42" spans="1:15" x14ac:dyDescent="0.25">
      <c r="A42" s="290">
        <v>3.02</v>
      </c>
      <c r="B42" s="25" t="s">
        <v>268</v>
      </c>
      <c r="C42" s="291" t="s">
        <v>38</v>
      </c>
      <c r="D42" s="277">
        <v>262.39999999999998</v>
      </c>
      <c r="E42" s="292">
        <v>1285.8323551829269</v>
      </c>
      <c r="F42" s="277">
        <f t="shared" si="7"/>
        <v>337402.41</v>
      </c>
      <c r="G42" s="315">
        <v>149.66730244754328</v>
      </c>
      <c r="H42" s="279"/>
      <c r="I42" s="287">
        <f t="shared" si="19"/>
        <v>149.66730244754328</v>
      </c>
      <c r="J42" s="288">
        <f t="shared" si="20"/>
        <v>0.57037843920557652</v>
      </c>
      <c r="K42" s="283">
        <f>E42*G42</f>
        <v>192447.06000000003</v>
      </c>
      <c r="L42" s="283">
        <f>H42*E42</f>
        <v>0</v>
      </c>
      <c r="M42" s="283">
        <f>K42+L42</f>
        <v>192447.06000000003</v>
      </c>
    </row>
    <row r="43" spans="1:15" x14ac:dyDescent="0.25">
      <c r="A43" s="290">
        <v>3.03</v>
      </c>
      <c r="B43" s="275" t="s">
        <v>104</v>
      </c>
      <c r="C43" s="291" t="s">
        <v>38</v>
      </c>
      <c r="D43" s="277">
        <v>430.49</v>
      </c>
      <c r="E43" s="292">
        <v>200.60860879462936</v>
      </c>
      <c r="F43" s="277">
        <f t="shared" si="7"/>
        <v>86360</v>
      </c>
      <c r="G43" s="279">
        <v>128</v>
      </c>
      <c r="H43" s="279"/>
      <c r="I43" s="287">
        <f t="shared" si="19"/>
        <v>128</v>
      </c>
      <c r="J43" s="288">
        <f t="shared" si="20"/>
        <v>0.29733559432274848</v>
      </c>
      <c r="K43" s="283">
        <f t="shared" ref="K43:K44" si="21">E43*G43</f>
        <v>25677.901925712558</v>
      </c>
      <c r="L43" s="283">
        <f>H43*E43</f>
        <v>0</v>
      </c>
      <c r="M43" s="283">
        <f>K43+L43</f>
        <v>25677.901925712558</v>
      </c>
      <c r="O43" s="314"/>
    </row>
    <row r="44" spans="1:15" x14ac:dyDescent="0.25">
      <c r="A44" s="290">
        <v>3.04</v>
      </c>
      <c r="B44" s="25" t="s">
        <v>269</v>
      </c>
      <c r="C44" s="291" t="s">
        <v>38</v>
      </c>
      <c r="D44" s="277">
        <v>1306.23</v>
      </c>
      <c r="E44" s="292">
        <v>132.37296647604174</v>
      </c>
      <c r="F44" s="277">
        <f t="shared" si="7"/>
        <v>172909.54</v>
      </c>
      <c r="G44" s="315">
        <v>1306.23</v>
      </c>
      <c r="H44" s="279"/>
      <c r="I44" s="287">
        <f t="shared" si="19"/>
        <v>1306.23</v>
      </c>
      <c r="J44" s="288">
        <f t="shared" si="20"/>
        <v>1</v>
      </c>
      <c r="K44" s="283">
        <f t="shared" si="21"/>
        <v>172909.54</v>
      </c>
      <c r="L44" s="283">
        <f>H44*E44</f>
        <v>0</v>
      </c>
      <c r="M44" s="283">
        <f>K44+L44</f>
        <v>172909.54</v>
      </c>
      <c r="O44" s="316"/>
    </row>
    <row r="45" spans="1:15" x14ac:dyDescent="0.25">
      <c r="A45" s="290"/>
      <c r="B45" s="71" t="s">
        <v>266</v>
      </c>
      <c r="C45" s="299"/>
      <c r="D45" s="300"/>
      <c r="E45" s="278"/>
      <c r="F45" s="278">
        <f>SUM(F41:F44)</f>
        <v>1019371.7200000001</v>
      </c>
      <c r="G45" s="279"/>
      <c r="H45" s="279"/>
      <c r="I45" s="287"/>
      <c r="J45" s="288"/>
      <c r="K45" s="295">
        <f>SUM(K41:K44)</f>
        <v>677133.50955057668</v>
      </c>
      <c r="L45" s="295">
        <f>SUM(L41:L44)</f>
        <v>0</v>
      </c>
      <c r="M45" s="295">
        <f>K45+L45</f>
        <v>677133.50955057668</v>
      </c>
    </row>
    <row r="46" spans="1:15" x14ac:dyDescent="0.25">
      <c r="A46" s="284">
        <v>4</v>
      </c>
      <c r="B46" s="24" t="s">
        <v>270</v>
      </c>
      <c r="C46" s="291"/>
      <c r="D46" s="285"/>
      <c r="E46" s="277"/>
      <c r="F46" s="277"/>
      <c r="G46" s="279"/>
      <c r="H46" s="279"/>
      <c r="I46" s="287"/>
      <c r="J46" s="288"/>
      <c r="K46" s="317"/>
      <c r="L46" s="283"/>
      <c r="M46" s="283"/>
    </row>
    <row r="47" spans="1:15" ht="24.75" x14ac:dyDescent="0.25">
      <c r="A47" s="304">
        <v>4.01</v>
      </c>
      <c r="B47" s="308" t="s">
        <v>276</v>
      </c>
      <c r="C47" s="291" t="s">
        <v>18</v>
      </c>
      <c r="D47" s="285">
        <v>12</v>
      </c>
      <c r="E47" s="277">
        <f>44750.66/D47</f>
        <v>3729.2216666666668</v>
      </c>
      <c r="F47" s="277">
        <f t="shared" si="7"/>
        <v>44750.66</v>
      </c>
      <c r="G47" s="279">
        <v>12</v>
      </c>
      <c r="H47" s="279"/>
      <c r="I47" s="287">
        <f t="shared" ref="I47" si="22">SUM(G47+H47)</f>
        <v>12</v>
      </c>
      <c r="J47" s="288">
        <f t="shared" ref="J47" si="23">I47/D47</f>
        <v>1</v>
      </c>
      <c r="K47" s="318">
        <f t="shared" ref="K47" si="24">E47*G47</f>
        <v>44750.66</v>
      </c>
      <c r="L47" s="319">
        <f>H47*E47</f>
        <v>0</v>
      </c>
      <c r="M47" s="319">
        <f>K47+L47</f>
        <v>44750.66</v>
      </c>
    </row>
    <row r="48" spans="1:15" x14ac:dyDescent="0.25">
      <c r="A48" s="304"/>
      <c r="B48" s="320" t="s">
        <v>266</v>
      </c>
      <c r="C48" s="307"/>
      <c r="D48" s="300"/>
      <c r="E48" s="278"/>
      <c r="F48" s="278">
        <f>F47</f>
        <v>44750.66</v>
      </c>
      <c r="G48" s="279"/>
      <c r="H48" s="279"/>
      <c r="I48" s="287"/>
      <c r="J48" s="288"/>
      <c r="K48" s="321">
        <f>SUM(K47)</f>
        <v>44750.66</v>
      </c>
      <c r="L48" s="322">
        <f>SUM(L47)</f>
        <v>0</v>
      </c>
      <c r="M48" s="322">
        <f>K48+L48</f>
        <v>44750.66</v>
      </c>
    </row>
    <row r="49" spans="1:13" x14ac:dyDescent="0.25">
      <c r="A49" s="304"/>
      <c r="B49" s="24" t="s">
        <v>277</v>
      </c>
      <c r="C49" s="307"/>
      <c r="D49" s="300"/>
      <c r="E49" s="278"/>
      <c r="F49" s="278">
        <f>F48+F45+F39+F35</f>
        <v>8750764.3250486366</v>
      </c>
      <c r="G49" s="279"/>
      <c r="H49" s="279"/>
      <c r="I49" s="287"/>
      <c r="J49" s="288"/>
      <c r="K49" s="323"/>
      <c r="L49" s="324"/>
      <c r="M49" s="295"/>
    </row>
    <row r="50" spans="1:13" x14ac:dyDescent="0.25">
      <c r="A50" s="284" t="s">
        <v>42</v>
      </c>
      <c r="B50" s="49" t="s">
        <v>278</v>
      </c>
      <c r="C50" s="297"/>
      <c r="D50" s="285"/>
      <c r="E50" s="277"/>
      <c r="F50" s="277"/>
      <c r="G50" s="279"/>
      <c r="H50" s="279"/>
      <c r="I50" s="287"/>
      <c r="J50" s="288"/>
      <c r="K50" s="282"/>
      <c r="L50" s="283"/>
      <c r="M50" s="283"/>
    </row>
    <row r="51" spans="1:13" x14ac:dyDescent="0.25">
      <c r="A51" s="290">
        <v>1</v>
      </c>
      <c r="B51" s="86" t="s">
        <v>26</v>
      </c>
      <c r="C51" s="297"/>
      <c r="D51" s="285"/>
      <c r="E51" s="277"/>
      <c r="F51" s="277"/>
      <c r="G51" s="279"/>
      <c r="H51" s="279"/>
      <c r="I51" s="287"/>
      <c r="J51" s="288"/>
      <c r="K51" s="282"/>
      <c r="L51" s="283"/>
      <c r="M51" s="283"/>
    </row>
    <row r="52" spans="1:13" x14ac:dyDescent="0.25">
      <c r="A52" s="290">
        <v>1.01</v>
      </c>
      <c r="B52" s="67" t="s">
        <v>258</v>
      </c>
      <c r="C52" s="291" t="s">
        <v>79</v>
      </c>
      <c r="D52" s="285">
        <v>1</v>
      </c>
      <c r="E52" s="277">
        <v>22345.8</v>
      </c>
      <c r="F52" s="277">
        <f t="shared" si="7"/>
        <v>22345.8</v>
      </c>
      <c r="G52" s="279">
        <v>1</v>
      </c>
      <c r="H52" s="279"/>
      <c r="I52" s="287">
        <f t="shared" ref="I52:I54" si="25">SUM(G52+H52)</f>
        <v>1</v>
      </c>
      <c r="J52" s="288">
        <f t="shared" ref="J52:J54" si="26">I52/D52</f>
        <v>1</v>
      </c>
      <c r="K52" s="283">
        <f>E52*G52</f>
        <v>22345.8</v>
      </c>
      <c r="L52" s="319">
        <f>H52*E52</f>
        <v>0</v>
      </c>
      <c r="M52" s="319">
        <f>K52+L52</f>
        <v>22345.8</v>
      </c>
    </row>
    <row r="53" spans="1:13" x14ac:dyDescent="0.25">
      <c r="A53" s="290">
        <v>1.02</v>
      </c>
      <c r="B53" s="75" t="s">
        <v>279</v>
      </c>
      <c r="C53" s="291" t="s">
        <v>18</v>
      </c>
      <c r="D53" s="285">
        <v>1</v>
      </c>
      <c r="E53" s="277">
        <v>40325</v>
      </c>
      <c r="F53" s="277">
        <f t="shared" si="7"/>
        <v>40325</v>
      </c>
      <c r="G53" s="279">
        <v>1</v>
      </c>
      <c r="H53" s="279"/>
      <c r="I53" s="287">
        <f t="shared" si="25"/>
        <v>1</v>
      </c>
      <c r="J53" s="288">
        <f t="shared" si="26"/>
        <v>1</v>
      </c>
      <c r="K53" s="283">
        <f t="shared" ref="K53:K59" si="27">E53*G53</f>
        <v>40325</v>
      </c>
      <c r="L53" s="319">
        <f t="shared" ref="L53:L54" si="28">H53*E53</f>
        <v>0</v>
      </c>
      <c r="M53" s="319">
        <f t="shared" ref="M53:M55" si="29">K53+L53</f>
        <v>40325</v>
      </c>
    </row>
    <row r="54" spans="1:13" x14ac:dyDescent="0.25">
      <c r="A54" s="290"/>
      <c r="B54" s="75" t="s">
        <v>280</v>
      </c>
      <c r="C54" s="291" t="s">
        <v>281</v>
      </c>
      <c r="D54" s="285">
        <v>1</v>
      </c>
      <c r="E54" s="277">
        <v>23600</v>
      </c>
      <c r="F54" s="277">
        <f t="shared" si="7"/>
        <v>23600</v>
      </c>
      <c r="G54" s="279">
        <v>1</v>
      </c>
      <c r="H54" s="279"/>
      <c r="I54" s="287">
        <f t="shared" si="25"/>
        <v>1</v>
      </c>
      <c r="J54" s="288">
        <f t="shared" si="26"/>
        <v>1</v>
      </c>
      <c r="K54" s="283">
        <f t="shared" si="27"/>
        <v>23600</v>
      </c>
      <c r="L54" s="319">
        <f t="shared" si="28"/>
        <v>0</v>
      </c>
      <c r="M54" s="319">
        <f t="shared" si="29"/>
        <v>23600</v>
      </c>
    </row>
    <row r="55" spans="1:13" x14ac:dyDescent="0.25">
      <c r="A55" s="290"/>
      <c r="B55" s="86" t="s">
        <v>29</v>
      </c>
      <c r="C55" s="299"/>
      <c r="D55" s="300"/>
      <c r="E55" s="278"/>
      <c r="F55" s="278">
        <f>SUM(F52:F54)</f>
        <v>86270.8</v>
      </c>
      <c r="G55" s="279"/>
      <c r="H55" s="279"/>
      <c r="I55" s="287"/>
      <c r="J55" s="288"/>
      <c r="K55" s="295">
        <f>SUM(K52:K54)</f>
        <v>86270.8</v>
      </c>
      <c r="L55" s="295">
        <f>SUM(L52:L54)</f>
        <v>0</v>
      </c>
      <c r="M55" s="322">
        <f t="shared" si="29"/>
        <v>86270.8</v>
      </c>
    </row>
    <row r="56" spans="1:13" x14ac:dyDescent="0.25">
      <c r="A56" s="284">
        <v>2</v>
      </c>
      <c r="B56" s="49" t="s">
        <v>267</v>
      </c>
      <c r="C56" s="291"/>
      <c r="D56" s="285"/>
      <c r="E56" s="277"/>
      <c r="F56" s="277"/>
      <c r="G56" s="279"/>
      <c r="H56" s="279"/>
      <c r="I56" s="287"/>
      <c r="J56" s="288"/>
      <c r="K56" s="283">
        <f t="shared" si="27"/>
        <v>0</v>
      </c>
      <c r="L56" s="283"/>
      <c r="M56" s="283"/>
    </row>
    <row r="57" spans="1:13" ht="24" x14ac:dyDescent="0.25">
      <c r="A57" s="290">
        <v>2.0099999999999998</v>
      </c>
      <c r="B57" s="75" t="s">
        <v>282</v>
      </c>
      <c r="C57" s="291" t="s">
        <v>38</v>
      </c>
      <c r="D57" s="285">
        <v>205.76</v>
      </c>
      <c r="E57" s="277">
        <v>258.15080699999999</v>
      </c>
      <c r="F57" s="277">
        <f t="shared" si="7"/>
        <v>53117.110048319992</v>
      </c>
      <c r="G57" s="279">
        <v>205.76</v>
      </c>
      <c r="H57" s="279"/>
      <c r="I57" s="287">
        <f t="shared" ref="I57:I59" si="30">SUM(G57+H57)</f>
        <v>205.76</v>
      </c>
      <c r="J57" s="288">
        <f t="shared" ref="J57:J59" si="31">I57/D57</f>
        <v>1</v>
      </c>
      <c r="K57" s="283">
        <f t="shared" si="27"/>
        <v>53117.110048319992</v>
      </c>
      <c r="L57" s="319">
        <f>H57*E57</f>
        <v>0</v>
      </c>
      <c r="M57" s="319">
        <f>K57+L57</f>
        <v>53117.110048319992</v>
      </c>
    </row>
    <row r="58" spans="1:13" ht="36" x14ac:dyDescent="0.25">
      <c r="A58" s="290">
        <v>2.02</v>
      </c>
      <c r="B58" s="75" t="s">
        <v>283</v>
      </c>
      <c r="C58" s="291" t="s">
        <v>38</v>
      </c>
      <c r="D58" s="285">
        <v>96.9</v>
      </c>
      <c r="E58" s="277">
        <v>990</v>
      </c>
      <c r="F58" s="277">
        <f t="shared" si="7"/>
        <v>95931</v>
      </c>
      <c r="G58" s="279">
        <v>96.9</v>
      </c>
      <c r="H58" s="279"/>
      <c r="I58" s="287">
        <f t="shared" si="30"/>
        <v>96.9</v>
      </c>
      <c r="J58" s="288">
        <f t="shared" si="31"/>
        <v>1</v>
      </c>
      <c r="K58" s="283">
        <f t="shared" si="27"/>
        <v>95931</v>
      </c>
      <c r="L58" s="319">
        <f t="shared" ref="L58:L59" si="32">H58*E58</f>
        <v>0</v>
      </c>
      <c r="M58" s="319">
        <f t="shared" ref="M58:M60" si="33">K58+L58</f>
        <v>95931</v>
      </c>
    </row>
    <row r="59" spans="1:13" ht="48" x14ac:dyDescent="0.25">
      <c r="A59" s="290">
        <v>2.0299999999999998</v>
      </c>
      <c r="B59" s="75" t="s">
        <v>284</v>
      </c>
      <c r="C59" s="291" t="s">
        <v>38</v>
      </c>
      <c r="D59" s="285">
        <v>267.48</v>
      </c>
      <c r="E59" s="292">
        <v>200.60830716315238</v>
      </c>
      <c r="F59" s="277">
        <f t="shared" si="7"/>
        <v>53658.71</v>
      </c>
      <c r="G59" s="279">
        <v>267.48</v>
      </c>
      <c r="H59" s="279"/>
      <c r="I59" s="287">
        <f t="shared" si="30"/>
        <v>267.48</v>
      </c>
      <c r="J59" s="288">
        <f t="shared" si="31"/>
        <v>1</v>
      </c>
      <c r="K59" s="283">
        <f t="shared" si="27"/>
        <v>53658.71</v>
      </c>
      <c r="L59" s="319">
        <f t="shared" si="32"/>
        <v>0</v>
      </c>
      <c r="M59" s="319">
        <f t="shared" si="33"/>
        <v>53658.71</v>
      </c>
    </row>
    <row r="60" spans="1:13" x14ac:dyDescent="0.25">
      <c r="A60" s="290"/>
      <c r="B60" s="86" t="s">
        <v>29</v>
      </c>
      <c r="C60" s="299"/>
      <c r="D60" s="300"/>
      <c r="E60" s="278"/>
      <c r="F60" s="278">
        <f>SUM(F57:F59)</f>
        <v>202706.82004831999</v>
      </c>
      <c r="G60" s="279"/>
      <c r="H60" s="279"/>
      <c r="I60" s="287"/>
      <c r="J60" s="288"/>
      <c r="K60" s="301">
        <f>SUM(K56:K59)</f>
        <v>202706.82004831999</v>
      </c>
      <c r="L60" s="295">
        <f>SUM(L57:L59)</f>
        <v>0</v>
      </c>
      <c r="M60" s="322">
        <f t="shared" si="33"/>
        <v>202706.82004831999</v>
      </c>
    </row>
    <row r="61" spans="1:13" x14ac:dyDescent="0.25">
      <c r="A61" s="284">
        <v>3</v>
      </c>
      <c r="B61" s="86" t="s">
        <v>285</v>
      </c>
      <c r="C61" s="291"/>
      <c r="D61" s="285"/>
      <c r="E61" s="277"/>
      <c r="F61" s="277"/>
      <c r="G61" s="279"/>
      <c r="H61" s="279"/>
      <c r="I61" s="287"/>
      <c r="J61" s="288"/>
      <c r="K61" s="282"/>
      <c r="L61" s="283"/>
      <c r="M61" s="283"/>
    </row>
    <row r="62" spans="1:13" ht="24" x14ac:dyDescent="0.25">
      <c r="A62" s="290">
        <f>A61+0.01</f>
        <v>3.01</v>
      </c>
      <c r="B62" s="75" t="s">
        <v>286</v>
      </c>
      <c r="C62" s="291" t="s">
        <v>38</v>
      </c>
      <c r="D62" s="285">
        <v>15.75</v>
      </c>
      <c r="E62" s="292">
        <v>20754.869841269843</v>
      </c>
      <c r="F62" s="277">
        <f t="shared" si="7"/>
        <v>326889.2</v>
      </c>
      <c r="G62" s="325">
        <v>7.875</v>
      </c>
      <c r="H62" s="279">
        <f>D62*0.5</f>
        <v>7.875</v>
      </c>
      <c r="I62" s="287">
        <f t="shared" ref="I62:I68" si="34">SUM(G62+H62)</f>
        <v>15.75</v>
      </c>
      <c r="J62" s="288">
        <f t="shared" ref="J62:J68" si="35">I62/D62</f>
        <v>1</v>
      </c>
      <c r="K62" s="283">
        <f t="shared" ref="K62:K68" si="36">E62*G62</f>
        <v>163444.6</v>
      </c>
      <c r="L62" s="283">
        <f>H62*E62</f>
        <v>163444.6</v>
      </c>
      <c r="M62" s="283">
        <f>K62+L62</f>
        <v>326889.2</v>
      </c>
    </row>
    <row r="63" spans="1:13" x14ac:dyDescent="0.25">
      <c r="A63" s="290">
        <f t="shared" ref="A63:A68" si="37">A62+0.01</f>
        <v>3.0199999999999996</v>
      </c>
      <c r="B63" s="75" t="s">
        <v>287</v>
      </c>
      <c r="C63" s="291" t="s">
        <v>38</v>
      </c>
      <c r="D63" s="285">
        <v>22.5</v>
      </c>
      <c r="E63" s="292">
        <v>22351.390222222224</v>
      </c>
      <c r="F63" s="277">
        <f t="shared" si="7"/>
        <v>502906.28</v>
      </c>
      <c r="G63" s="279">
        <v>11.25</v>
      </c>
      <c r="H63" s="279">
        <f t="shared" ref="H63:H68" si="38">D63*0.5</f>
        <v>11.25</v>
      </c>
      <c r="I63" s="287">
        <f t="shared" si="34"/>
        <v>22.5</v>
      </c>
      <c r="J63" s="288">
        <f t="shared" si="35"/>
        <v>1</v>
      </c>
      <c r="K63" s="283">
        <f t="shared" si="36"/>
        <v>251453.14</v>
      </c>
      <c r="L63" s="283">
        <f t="shared" ref="L63:L68" si="39">H63*E63</f>
        <v>251453.14</v>
      </c>
      <c r="M63" s="283">
        <f t="shared" ref="M63:M68" si="40">K63+L63</f>
        <v>502906.28</v>
      </c>
    </row>
    <row r="64" spans="1:13" ht="36" x14ac:dyDescent="0.25">
      <c r="A64" s="290">
        <f t="shared" si="37"/>
        <v>3.0299999999999994</v>
      </c>
      <c r="B64" s="75" t="s">
        <v>288</v>
      </c>
      <c r="C64" s="291" t="s">
        <v>38</v>
      </c>
      <c r="D64" s="285">
        <v>78.974999999999994</v>
      </c>
      <c r="E64" s="292">
        <v>33156.270000000004</v>
      </c>
      <c r="F64" s="277">
        <f t="shared" si="7"/>
        <v>2618516.42325</v>
      </c>
      <c r="G64" s="279">
        <v>39.487499999999997</v>
      </c>
      <c r="H64" s="279">
        <v>30</v>
      </c>
      <c r="I64" s="287">
        <f t="shared" si="34"/>
        <v>69.487499999999997</v>
      </c>
      <c r="J64" s="288">
        <f t="shared" si="35"/>
        <v>0.87986704653371328</v>
      </c>
      <c r="K64" s="283">
        <f t="shared" si="36"/>
        <v>1309258.211625</v>
      </c>
      <c r="L64" s="283">
        <f t="shared" si="39"/>
        <v>994688.10000000009</v>
      </c>
      <c r="M64" s="283">
        <f t="shared" si="40"/>
        <v>2303946.3116250001</v>
      </c>
    </row>
    <row r="65" spans="1:13" ht="36" x14ac:dyDescent="0.25">
      <c r="A65" s="290">
        <f t="shared" si="37"/>
        <v>3.0399999999999991</v>
      </c>
      <c r="B65" s="75" t="s">
        <v>289</v>
      </c>
      <c r="C65" s="291" t="s">
        <v>38</v>
      </c>
      <c r="D65" s="285">
        <v>6.0839999999999996</v>
      </c>
      <c r="E65" s="292">
        <v>42561.8</v>
      </c>
      <c r="F65" s="277">
        <f t="shared" si="7"/>
        <v>258945.99119999999</v>
      </c>
      <c r="G65" s="279">
        <v>3.0419999999999998</v>
      </c>
      <c r="H65" s="279">
        <v>2</v>
      </c>
      <c r="I65" s="287">
        <f t="shared" si="34"/>
        <v>5.0419999999999998</v>
      </c>
      <c r="J65" s="288">
        <f t="shared" si="35"/>
        <v>0.82873109796186717</v>
      </c>
      <c r="K65" s="283">
        <f t="shared" si="36"/>
        <v>129472.99559999999</v>
      </c>
      <c r="L65" s="283">
        <f t="shared" si="39"/>
        <v>85123.6</v>
      </c>
      <c r="M65" s="283">
        <f t="shared" si="40"/>
        <v>214596.5956</v>
      </c>
    </row>
    <row r="66" spans="1:13" ht="36" x14ac:dyDescent="0.25">
      <c r="A66" s="290"/>
      <c r="B66" s="75" t="s">
        <v>290</v>
      </c>
      <c r="C66" s="326" t="s">
        <v>38</v>
      </c>
      <c r="D66" s="285">
        <v>1.56</v>
      </c>
      <c r="E66" s="292">
        <v>40749.512755999996</v>
      </c>
      <c r="F66" s="277">
        <f t="shared" si="7"/>
        <v>63569.23989936</v>
      </c>
      <c r="G66" s="279">
        <v>0.78</v>
      </c>
      <c r="H66" s="279">
        <f t="shared" si="38"/>
        <v>0.78</v>
      </c>
      <c r="I66" s="287">
        <f t="shared" si="34"/>
        <v>1.56</v>
      </c>
      <c r="J66" s="288">
        <f t="shared" si="35"/>
        <v>1</v>
      </c>
      <c r="K66" s="283">
        <f t="shared" si="36"/>
        <v>31784.61994968</v>
      </c>
      <c r="L66" s="283">
        <f t="shared" si="39"/>
        <v>31784.61994968</v>
      </c>
      <c r="M66" s="283">
        <f t="shared" si="40"/>
        <v>63569.23989936</v>
      </c>
    </row>
    <row r="67" spans="1:13" ht="24" x14ac:dyDescent="0.25">
      <c r="A67" s="290"/>
      <c r="B67" s="75" t="s">
        <v>291</v>
      </c>
      <c r="C67" s="326" t="s">
        <v>38</v>
      </c>
      <c r="D67" s="285">
        <v>16.875</v>
      </c>
      <c r="E67" s="292">
        <v>27513.523280000001</v>
      </c>
      <c r="F67" s="277">
        <f t="shared" si="7"/>
        <v>464290.70535</v>
      </c>
      <c r="G67" s="279">
        <v>8.4375</v>
      </c>
      <c r="H67" s="279">
        <f t="shared" si="38"/>
        <v>8.4375</v>
      </c>
      <c r="I67" s="287">
        <f t="shared" si="34"/>
        <v>16.875</v>
      </c>
      <c r="J67" s="288">
        <f t="shared" si="35"/>
        <v>1</v>
      </c>
      <c r="K67" s="283">
        <f t="shared" si="36"/>
        <v>232145.352675</v>
      </c>
      <c r="L67" s="283">
        <f t="shared" si="39"/>
        <v>232145.352675</v>
      </c>
      <c r="M67" s="283">
        <f t="shared" si="40"/>
        <v>464290.70535</v>
      </c>
    </row>
    <row r="68" spans="1:13" ht="24" x14ac:dyDescent="0.25">
      <c r="A68" s="290">
        <f t="shared" si="37"/>
        <v>0.01</v>
      </c>
      <c r="B68" s="75" t="s">
        <v>292</v>
      </c>
      <c r="C68" s="326" t="s">
        <v>38</v>
      </c>
      <c r="D68" s="285">
        <v>0.32400000000000001</v>
      </c>
      <c r="E68" s="277">
        <v>16547.485031999997</v>
      </c>
      <c r="F68" s="277">
        <f t="shared" si="7"/>
        <v>5361.3851503679989</v>
      </c>
      <c r="G68" s="279">
        <v>0.16200000000000001</v>
      </c>
      <c r="H68" s="279">
        <f t="shared" si="38"/>
        <v>0.16200000000000001</v>
      </c>
      <c r="I68" s="287">
        <f t="shared" si="34"/>
        <v>0.32400000000000001</v>
      </c>
      <c r="J68" s="288">
        <f t="shared" si="35"/>
        <v>1</v>
      </c>
      <c r="K68" s="283">
        <f t="shared" si="36"/>
        <v>2680.6925751839995</v>
      </c>
      <c r="L68" s="283">
        <f t="shared" si="39"/>
        <v>2680.6925751839995</v>
      </c>
      <c r="M68" s="283">
        <f t="shared" si="40"/>
        <v>5361.3851503679989</v>
      </c>
    </row>
    <row r="69" spans="1:13" x14ac:dyDescent="0.25">
      <c r="A69" s="290"/>
      <c r="B69" s="86" t="s">
        <v>293</v>
      </c>
      <c r="C69" s="299"/>
      <c r="D69" s="300"/>
      <c r="E69" s="278"/>
      <c r="F69" s="278">
        <f>SUM(F62:F68)</f>
        <v>4240479.2248497289</v>
      </c>
      <c r="G69" s="279"/>
      <c r="H69" s="279"/>
      <c r="I69" s="287"/>
      <c r="J69" s="288"/>
      <c r="K69" s="301">
        <f>SUM(K62:K68)</f>
        <v>2120239.6124248644</v>
      </c>
      <c r="L69" s="295">
        <f>SUM(L62:L68)</f>
        <v>1761320.1051998641</v>
      </c>
      <c r="M69" s="295">
        <f>SUM(M62:M68)</f>
        <v>3881559.7176247281</v>
      </c>
    </row>
    <row r="70" spans="1:13" x14ac:dyDescent="0.25">
      <c r="A70" s="284">
        <v>4</v>
      </c>
      <c r="B70" s="49" t="s">
        <v>294</v>
      </c>
      <c r="C70" s="291"/>
      <c r="D70" s="285"/>
      <c r="E70" s="277"/>
      <c r="F70" s="277"/>
      <c r="G70" s="279"/>
      <c r="H70" s="279"/>
      <c r="I70" s="287"/>
      <c r="J70" s="288"/>
      <c r="K70" s="282"/>
      <c r="L70" s="283"/>
      <c r="M70" s="283"/>
    </row>
    <row r="71" spans="1:13" x14ac:dyDescent="0.25">
      <c r="A71" s="290">
        <v>4.01</v>
      </c>
      <c r="B71" s="75" t="s">
        <v>295</v>
      </c>
      <c r="C71" s="291" t="s">
        <v>35</v>
      </c>
      <c r="D71" s="285">
        <v>247.5</v>
      </c>
      <c r="E71" s="292">
        <v>416.04747474747472</v>
      </c>
      <c r="F71" s="277">
        <f t="shared" si="7"/>
        <v>102971.75</v>
      </c>
      <c r="G71" s="325"/>
      <c r="H71" s="279">
        <f>D71*0.5</f>
        <v>123.75</v>
      </c>
      <c r="I71" s="287"/>
      <c r="J71" s="288"/>
      <c r="K71" s="282"/>
      <c r="L71" s="283">
        <f t="shared" ref="L71:L76" si="41">H71*E71</f>
        <v>51485.875</v>
      </c>
      <c r="M71" s="283">
        <f t="shared" ref="M71:M77" si="42">K71+L71</f>
        <v>51485.875</v>
      </c>
    </row>
    <row r="72" spans="1:13" x14ac:dyDescent="0.25">
      <c r="A72" s="290">
        <v>4.0199999999999996</v>
      </c>
      <c r="B72" s="75" t="s">
        <v>296</v>
      </c>
      <c r="C72" s="291" t="s">
        <v>35</v>
      </c>
      <c r="D72" s="285">
        <v>265.5</v>
      </c>
      <c r="E72" s="292">
        <v>682.57887005649718</v>
      </c>
      <c r="F72" s="277">
        <f>D72*E72</f>
        <v>181224.69</v>
      </c>
      <c r="G72" s="279"/>
      <c r="H72" s="279">
        <f t="shared" ref="H72:H76" si="43">D72*0.5</f>
        <v>132.75</v>
      </c>
      <c r="I72" s="287"/>
      <c r="J72" s="288"/>
      <c r="K72" s="282"/>
      <c r="L72" s="283">
        <f t="shared" si="41"/>
        <v>90612.345000000001</v>
      </c>
      <c r="M72" s="283">
        <f t="shared" si="42"/>
        <v>90612.345000000001</v>
      </c>
    </row>
    <row r="73" spans="1:13" x14ac:dyDescent="0.25">
      <c r="A73" s="290">
        <v>4.03</v>
      </c>
      <c r="B73" s="75" t="s">
        <v>297</v>
      </c>
      <c r="C73" s="291" t="s">
        <v>35</v>
      </c>
      <c r="D73" s="285">
        <v>112.5</v>
      </c>
      <c r="E73" s="292">
        <v>634.16</v>
      </c>
      <c r="F73" s="277">
        <f t="shared" si="7"/>
        <v>71343</v>
      </c>
      <c r="G73" s="279"/>
      <c r="H73" s="279">
        <f t="shared" si="43"/>
        <v>56.25</v>
      </c>
      <c r="I73" s="287"/>
      <c r="J73" s="288"/>
      <c r="K73" s="282"/>
      <c r="L73" s="283">
        <f t="shared" si="41"/>
        <v>35671.5</v>
      </c>
      <c r="M73" s="283">
        <f t="shared" si="42"/>
        <v>35671.5</v>
      </c>
    </row>
    <row r="74" spans="1:13" x14ac:dyDescent="0.25">
      <c r="A74" s="290">
        <v>4.04</v>
      </c>
      <c r="B74" s="75" t="s">
        <v>298</v>
      </c>
      <c r="C74" s="291" t="s">
        <v>35</v>
      </c>
      <c r="D74" s="285">
        <v>112.5</v>
      </c>
      <c r="E74" s="292">
        <v>634.16</v>
      </c>
      <c r="F74" s="277">
        <f t="shared" si="7"/>
        <v>71343</v>
      </c>
      <c r="G74" s="279"/>
      <c r="H74" s="279">
        <f t="shared" si="43"/>
        <v>56.25</v>
      </c>
      <c r="I74" s="287"/>
      <c r="J74" s="288"/>
      <c r="K74" s="282"/>
      <c r="L74" s="283">
        <f t="shared" si="41"/>
        <v>35671.5</v>
      </c>
      <c r="M74" s="283">
        <f t="shared" si="42"/>
        <v>35671.5</v>
      </c>
    </row>
    <row r="75" spans="1:13" x14ac:dyDescent="0.25">
      <c r="A75" s="290">
        <v>4.05</v>
      </c>
      <c r="B75" s="75" t="s">
        <v>299</v>
      </c>
      <c r="C75" s="291" t="s">
        <v>35</v>
      </c>
      <c r="D75" s="285">
        <v>184.24</v>
      </c>
      <c r="E75" s="292">
        <v>188.10258400000001</v>
      </c>
      <c r="F75" s="277">
        <f t="shared" si="7"/>
        <v>34656.020076160006</v>
      </c>
      <c r="G75" s="279"/>
      <c r="H75" s="279">
        <f t="shared" si="43"/>
        <v>92.12</v>
      </c>
      <c r="I75" s="287"/>
      <c r="J75" s="288"/>
      <c r="K75" s="282"/>
      <c r="L75" s="283">
        <f t="shared" si="41"/>
        <v>17328.010038080003</v>
      </c>
      <c r="M75" s="283">
        <f t="shared" si="42"/>
        <v>17328.010038080003</v>
      </c>
    </row>
    <row r="76" spans="1:13" ht="24" x14ac:dyDescent="0.25">
      <c r="A76" s="290">
        <v>4.0599999999999996</v>
      </c>
      <c r="B76" s="75" t="s">
        <v>300</v>
      </c>
      <c r="C76" s="291" t="s">
        <v>35</v>
      </c>
      <c r="D76" s="285">
        <v>247.5</v>
      </c>
      <c r="E76" s="292">
        <v>326.28905050505045</v>
      </c>
      <c r="F76" s="277">
        <f t="shared" si="7"/>
        <v>80756.539999999994</v>
      </c>
      <c r="G76" s="279"/>
      <c r="H76" s="279">
        <f t="shared" si="43"/>
        <v>123.75</v>
      </c>
      <c r="I76" s="287"/>
      <c r="J76" s="288"/>
      <c r="K76" s="282"/>
      <c r="L76" s="283">
        <f t="shared" si="41"/>
        <v>40378.269999999997</v>
      </c>
      <c r="M76" s="283">
        <f t="shared" si="42"/>
        <v>40378.269999999997</v>
      </c>
    </row>
    <row r="77" spans="1:13" x14ac:dyDescent="0.25">
      <c r="A77" s="290"/>
      <c r="B77" s="86" t="s">
        <v>29</v>
      </c>
      <c r="C77" s="299"/>
      <c r="D77" s="300"/>
      <c r="E77" s="278"/>
      <c r="F77" s="278">
        <f>SUM(F71:F76)</f>
        <v>542295.00007616007</v>
      </c>
      <c r="G77" s="279"/>
      <c r="H77" s="279"/>
      <c r="I77" s="287"/>
      <c r="J77" s="288"/>
      <c r="K77" s="282"/>
      <c r="L77" s="295">
        <f>SUM(L71:L76)</f>
        <v>271147.50003808003</v>
      </c>
      <c r="M77" s="295">
        <f t="shared" si="42"/>
        <v>271147.50003808003</v>
      </c>
    </row>
    <row r="78" spans="1:13" x14ac:dyDescent="0.25">
      <c r="A78" s="290"/>
      <c r="B78" s="86" t="s">
        <v>301</v>
      </c>
      <c r="C78" s="299"/>
      <c r="D78" s="300"/>
      <c r="E78" s="278"/>
      <c r="F78" s="278"/>
      <c r="G78" s="279"/>
      <c r="H78" s="279"/>
      <c r="I78" s="287"/>
      <c r="J78" s="288"/>
      <c r="K78" s="282"/>
      <c r="L78" s="283"/>
      <c r="M78" s="283"/>
    </row>
    <row r="79" spans="1:13" ht="36" x14ac:dyDescent="0.25">
      <c r="A79" s="284">
        <v>5</v>
      </c>
      <c r="B79" s="86" t="s">
        <v>302</v>
      </c>
      <c r="C79" s="291"/>
      <c r="D79" s="285"/>
      <c r="E79" s="277"/>
      <c r="F79" s="277"/>
      <c r="G79" s="279"/>
      <c r="H79" s="279"/>
      <c r="I79" s="287"/>
      <c r="J79" s="288"/>
      <c r="K79" s="282"/>
      <c r="L79" s="283"/>
      <c r="M79" s="283"/>
    </row>
    <row r="80" spans="1:13" x14ac:dyDescent="0.25">
      <c r="A80" s="290">
        <v>5.01</v>
      </c>
      <c r="B80" s="75" t="s">
        <v>303</v>
      </c>
      <c r="C80" s="291" t="s">
        <v>18</v>
      </c>
      <c r="D80" s="285">
        <v>1</v>
      </c>
      <c r="E80" s="277">
        <v>19513.73</v>
      </c>
      <c r="F80" s="277">
        <f t="shared" si="7"/>
        <v>19513.73</v>
      </c>
      <c r="G80" s="279"/>
      <c r="H80" s="279"/>
      <c r="I80" s="287"/>
      <c r="J80" s="288"/>
      <c r="K80" s="282"/>
      <c r="L80" s="283"/>
      <c r="M80" s="283"/>
    </row>
    <row r="81" spans="1:13" x14ac:dyDescent="0.25">
      <c r="A81" s="290">
        <v>5.0199999999999996</v>
      </c>
      <c r="B81" s="75" t="s">
        <v>304</v>
      </c>
      <c r="C81" s="291" t="s">
        <v>18</v>
      </c>
      <c r="D81" s="285">
        <v>1</v>
      </c>
      <c r="E81" s="277">
        <v>10198.629999999999</v>
      </c>
      <c r="F81" s="277">
        <f t="shared" si="7"/>
        <v>10198.629999999999</v>
      </c>
      <c r="G81" s="279"/>
      <c r="H81" s="279"/>
      <c r="I81" s="287"/>
      <c r="J81" s="288"/>
      <c r="K81" s="282"/>
      <c r="L81" s="283"/>
      <c r="M81" s="283"/>
    </row>
    <row r="82" spans="1:13" x14ac:dyDescent="0.25">
      <c r="A82" s="290">
        <v>5.03</v>
      </c>
      <c r="B82" s="75" t="s">
        <v>305</v>
      </c>
      <c r="C82" s="291" t="s">
        <v>18</v>
      </c>
      <c r="D82" s="285">
        <v>3</v>
      </c>
      <c r="E82" s="277">
        <v>16760.866699999999</v>
      </c>
      <c r="F82" s="277">
        <f t="shared" si="7"/>
        <v>50282.600099999996</v>
      </c>
      <c r="G82" s="279"/>
      <c r="H82" s="279"/>
      <c r="I82" s="287"/>
      <c r="J82" s="288"/>
      <c r="K82" s="282"/>
      <c r="L82" s="283"/>
      <c r="M82" s="283"/>
    </row>
    <row r="83" spans="1:13" x14ac:dyDescent="0.25">
      <c r="A83" s="290">
        <v>5.04</v>
      </c>
      <c r="B83" s="75" t="s">
        <v>306</v>
      </c>
      <c r="C83" s="291" t="s">
        <v>18</v>
      </c>
      <c r="D83" s="285">
        <v>1</v>
      </c>
      <c r="E83" s="277">
        <v>13738.46</v>
      </c>
      <c r="F83" s="277">
        <f t="shared" si="7"/>
        <v>13738.46</v>
      </c>
      <c r="G83" s="279"/>
      <c r="H83" s="279"/>
      <c r="I83" s="287"/>
      <c r="J83" s="288"/>
      <c r="K83" s="282"/>
      <c r="L83" s="283"/>
      <c r="M83" s="283"/>
    </row>
    <row r="84" spans="1:13" ht="24" x14ac:dyDescent="0.25">
      <c r="A84" s="290">
        <v>5.05</v>
      </c>
      <c r="B84" s="75" t="s">
        <v>307</v>
      </c>
      <c r="C84" s="291" t="s">
        <v>18</v>
      </c>
      <c r="D84" s="285">
        <v>3</v>
      </c>
      <c r="E84" s="277">
        <v>2756.05</v>
      </c>
      <c r="F84" s="277">
        <f t="shared" si="7"/>
        <v>8268.1500000000015</v>
      </c>
      <c r="G84" s="279"/>
      <c r="H84" s="279"/>
      <c r="I84" s="287"/>
      <c r="J84" s="288"/>
      <c r="K84" s="282"/>
      <c r="L84" s="283"/>
      <c r="M84" s="283"/>
    </row>
    <row r="85" spans="1:13" ht="24" x14ac:dyDescent="0.25">
      <c r="A85" s="290">
        <v>5.0599999999999996</v>
      </c>
      <c r="B85" s="75" t="s">
        <v>308</v>
      </c>
      <c r="C85" s="291" t="s">
        <v>18</v>
      </c>
      <c r="D85" s="285">
        <v>1</v>
      </c>
      <c r="E85" s="277">
        <v>1826.45</v>
      </c>
      <c r="F85" s="277">
        <f t="shared" si="7"/>
        <v>1826.45</v>
      </c>
      <c r="G85" s="279"/>
      <c r="H85" s="279"/>
      <c r="I85" s="287"/>
      <c r="J85" s="288"/>
      <c r="K85" s="282"/>
      <c r="L85" s="283"/>
      <c r="M85" s="283"/>
    </row>
    <row r="86" spans="1:13" ht="60" x14ac:dyDescent="0.25">
      <c r="A86" s="290">
        <v>5.07</v>
      </c>
      <c r="B86" s="75" t="s">
        <v>309</v>
      </c>
      <c r="C86" s="291" t="s">
        <v>18</v>
      </c>
      <c r="D86" s="285">
        <v>1</v>
      </c>
      <c r="E86" s="277">
        <v>41924.949999999997</v>
      </c>
      <c r="F86" s="277">
        <f t="shared" si="7"/>
        <v>41924.949999999997</v>
      </c>
      <c r="G86" s="279"/>
      <c r="H86" s="279"/>
      <c r="I86" s="287"/>
      <c r="J86" s="288"/>
      <c r="K86" s="282"/>
      <c r="L86" s="283"/>
      <c r="M86" s="283"/>
    </row>
    <row r="87" spans="1:13" x14ac:dyDescent="0.25">
      <c r="A87" s="304">
        <v>5.08</v>
      </c>
      <c r="B87" s="75" t="s">
        <v>310</v>
      </c>
      <c r="C87" s="326" t="s">
        <v>311</v>
      </c>
      <c r="D87" s="327">
        <v>24.03</v>
      </c>
      <c r="E87" s="328">
        <v>9818.8456100000003</v>
      </c>
      <c r="F87" s="277">
        <f t="shared" si="7"/>
        <v>235946.86000830002</v>
      </c>
      <c r="G87" s="279"/>
      <c r="H87" s="279"/>
      <c r="I87" s="287"/>
      <c r="J87" s="288"/>
      <c r="K87" s="282"/>
      <c r="L87" s="283"/>
      <c r="M87" s="283"/>
    </row>
    <row r="88" spans="1:13" x14ac:dyDescent="0.25">
      <c r="A88" s="290">
        <v>5.09</v>
      </c>
      <c r="B88" s="75" t="s">
        <v>312</v>
      </c>
      <c r="C88" s="291" t="s">
        <v>311</v>
      </c>
      <c r="D88" s="285">
        <v>19.88</v>
      </c>
      <c r="E88" s="277">
        <v>4996.60412</v>
      </c>
      <c r="F88" s="277">
        <f t="shared" si="7"/>
        <v>99332.489905599999</v>
      </c>
      <c r="G88" s="279"/>
      <c r="H88" s="279"/>
      <c r="I88" s="287"/>
      <c r="J88" s="288"/>
      <c r="K88" s="282"/>
      <c r="L88" s="283"/>
      <c r="M88" s="283"/>
    </row>
    <row r="89" spans="1:13" ht="24" x14ac:dyDescent="0.25">
      <c r="A89" s="290">
        <v>5.0999999999999996</v>
      </c>
      <c r="B89" s="75" t="s">
        <v>313</v>
      </c>
      <c r="C89" s="291" t="s">
        <v>18</v>
      </c>
      <c r="D89" s="285">
        <v>4.68</v>
      </c>
      <c r="E89" s="277">
        <v>5200.7072600000001</v>
      </c>
      <c r="F89" s="277">
        <f t="shared" si="7"/>
        <v>24339.309976799999</v>
      </c>
      <c r="G89" s="279"/>
      <c r="H89" s="279"/>
      <c r="I89" s="287"/>
      <c r="J89" s="288"/>
      <c r="K89" s="282"/>
      <c r="L89" s="283"/>
      <c r="M89" s="283"/>
    </row>
    <row r="90" spans="1:13" ht="24" x14ac:dyDescent="0.25">
      <c r="A90" s="290">
        <v>5.1100000000000003</v>
      </c>
      <c r="B90" s="75" t="s">
        <v>314</v>
      </c>
      <c r="C90" s="291" t="s">
        <v>18</v>
      </c>
      <c r="D90" s="285">
        <v>3</v>
      </c>
      <c r="E90" s="277">
        <v>3729.2233299999998</v>
      </c>
      <c r="F90" s="277">
        <f t="shared" ref="F90:F144" si="44">D90*E90</f>
        <v>11187.669989999999</v>
      </c>
      <c r="G90" s="279"/>
      <c r="H90" s="279"/>
      <c r="I90" s="287"/>
      <c r="J90" s="288"/>
      <c r="K90" s="282"/>
      <c r="L90" s="283"/>
      <c r="M90" s="283"/>
    </row>
    <row r="91" spans="1:13" x14ac:dyDescent="0.25">
      <c r="A91" s="290">
        <v>5.12</v>
      </c>
      <c r="B91" s="75" t="s">
        <v>315</v>
      </c>
      <c r="C91" s="291" t="s">
        <v>18</v>
      </c>
      <c r="D91" s="285">
        <v>4</v>
      </c>
      <c r="E91" s="277">
        <v>5573.75</v>
      </c>
      <c r="F91" s="277">
        <f t="shared" si="44"/>
        <v>22295</v>
      </c>
      <c r="G91" s="279"/>
      <c r="H91" s="279"/>
      <c r="I91" s="287"/>
      <c r="J91" s="288"/>
      <c r="K91" s="282"/>
      <c r="L91" s="283"/>
      <c r="M91" s="283"/>
    </row>
    <row r="92" spans="1:13" x14ac:dyDescent="0.25">
      <c r="A92" s="290">
        <v>5.13</v>
      </c>
      <c r="B92" s="75" t="s">
        <v>316</v>
      </c>
      <c r="C92" s="291" t="s">
        <v>18</v>
      </c>
      <c r="D92" s="285">
        <v>1</v>
      </c>
      <c r="E92" s="277">
        <v>2354.5300000000002</v>
      </c>
      <c r="F92" s="277">
        <f t="shared" si="44"/>
        <v>2354.5300000000002</v>
      </c>
      <c r="G92" s="279"/>
      <c r="H92" s="279"/>
      <c r="I92" s="287"/>
      <c r="J92" s="288"/>
      <c r="K92" s="282"/>
      <c r="L92" s="283"/>
      <c r="M92" s="283"/>
    </row>
    <row r="93" spans="1:13" ht="24" x14ac:dyDescent="0.25">
      <c r="A93" s="290">
        <v>5.14</v>
      </c>
      <c r="B93" s="75" t="s">
        <v>317</v>
      </c>
      <c r="C93" s="291" t="s">
        <v>18</v>
      </c>
      <c r="D93" s="285">
        <v>1</v>
      </c>
      <c r="E93" s="277">
        <v>245000</v>
      </c>
      <c r="F93" s="277">
        <f t="shared" si="44"/>
        <v>245000</v>
      </c>
      <c r="G93" s="279"/>
      <c r="H93" s="279"/>
      <c r="I93" s="287"/>
      <c r="J93" s="288"/>
      <c r="K93" s="282"/>
      <c r="L93" s="283"/>
      <c r="M93" s="283"/>
    </row>
    <row r="94" spans="1:13" ht="24" x14ac:dyDescent="0.25">
      <c r="A94" s="290">
        <v>5.15</v>
      </c>
      <c r="B94" s="75" t="s">
        <v>318</v>
      </c>
      <c r="C94" s="291" t="s">
        <v>18</v>
      </c>
      <c r="D94" s="285">
        <v>1</v>
      </c>
      <c r="E94" s="277">
        <v>17899.490000000002</v>
      </c>
      <c r="F94" s="277">
        <f t="shared" si="44"/>
        <v>17899.490000000002</v>
      </c>
      <c r="G94" s="279"/>
      <c r="H94" s="279"/>
      <c r="I94" s="287"/>
      <c r="J94" s="288"/>
      <c r="K94" s="282"/>
      <c r="L94" s="283"/>
      <c r="M94" s="283"/>
    </row>
    <row r="95" spans="1:13" ht="24" x14ac:dyDescent="0.25">
      <c r="A95" s="290">
        <v>5.16</v>
      </c>
      <c r="B95" s="75" t="s">
        <v>319</v>
      </c>
      <c r="C95" s="291" t="s">
        <v>18</v>
      </c>
      <c r="D95" s="285">
        <v>1</v>
      </c>
      <c r="E95" s="277">
        <v>56666.58</v>
      </c>
      <c r="F95" s="277">
        <f t="shared" si="44"/>
        <v>56666.58</v>
      </c>
      <c r="G95" s="279"/>
      <c r="H95" s="279"/>
      <c r="I95" s="287"/>
      <c r="J95" s="288"/>
      <c r="K95" s="282"/>
      <c r="L95" s="283"/>
      <c r="M95" s="283"/>
    </row>
    <row r="96" spans="1:13" ht="24" x14ac:dyDescent="0.25">
      <c r="A96" s="290">
        <v>5.17</v>
      </c>
      <c r="B96" s="75" t="s">
        <v>320</v>
      </c>
      <c r="C96" s="291" t="s">
        <v>18</v>
      </c>
      <c r="D96" s="285">
        <v>1</v>
      </c>
      <c r="E96" s="277">
        <v>4413.18</v>
      </c>
      <c r="F96" s="277">
        <f t="shared" si="44"/>
        <v>4413.18</v>
      </c>
      <c r="G96" s="279"/>
      <c r="H96" s="279"/>
      <c r="I96" s="287"/>
      <c r="J96" s="288"/>
      <c r="K96" s="282"/>
      <c r="L96" s="283"/>
      <c r="M96" s="283"/>
    </row>
    <row r="97" spans="1:14" ht="24" x14ac:dyDescent="0.25">
      <c r="A97" s="290">
        <v>5.18</v>
      </c>
      <c r="B97" s="75" t="s">
        <v>321</v>
      </c>
      <c r="C97" s="291" t="s">
        <v>18</v>
      </c>
      <c r="D97" s="285">
        <v>2</v>
      </c>
      <c r="E97" s="277">
        <v>2829.2750000000001</v>
      </c>
      <c r="F97" s="277">
        <f t="shared" si="44"/>
        <v>5658.55</v>
      </c>
      <c r="G97" s="279"/>
      <c r="H97" s="279"/>
      <c r="I97" s="287"/>
      <c r="J97" s="288"/>
      <c r="K97" s="282"/>
      <c r="L97" s="283"/>
      <c r="M97" s="283"/>
    </row>
    <row r="98" spans="1:14" ht="24" x14ac:dyDescent="0.25">
      <c r="A98" s="290">
        <v>5.19</v>
      </c>
      <c r="B98" s="75" t="s">
        <v>322</v>
      </c>
      <c r="C98" s="291" t="s">
        <v>18</v>
      </c>
      <c r="D98" s="285">
        <v>1</v>
      </c>
      <c r="E98" s="277">
        <v>8764.35</v>
      </c>
      <c r="F98" s="277">
        <f t="shared" si="44"/>
        <v>8764.35</v>
      </c>
      <c r="G98" s="279"/>
      <c r="H98" s="279"/>
      <c r="I98" s="287"/>
      <c r="J98" s="288"/>
      <c r="K98" s="282"/>
      <c r="L98" s="283"/>
      <c r="M98" s="283"/>
    </row>
    <row r="99" spans="1:14" ht="24" x14ac:dyDescent="0.25">
      <c r="A99" s="290">
        <v>5.2</v>
      </c>
      <c r="B99" s="75" t="s">
        <v>323</v>
      </c>
      <c r="C99" s="291" t="s">
        <v>18</v>
      </c>
      <c r="D99" s="285">
        <v>1</v>
      </c>
      <c r="E99" s="277">
        <v>5374.8</v>
      </c>
      <c r="F99" s="277">
        <f t="shared" si="44"/>
        <v>5374.8</v>
      </c>
      <c r="G99" s="279"/>
      <c r="H99" s="279"/>
      <c r="I99" s="287"/>
      <c r="J99" s="288"/>
      <c r="K99" s="282"/>
      <c r="L99" s="283"/>
      <c r="M99" s="283"/>
    </row>
    <row r="100" spans="1:14" x14ac:dyDescent="0.25">
      <c r="A100" s="290"/>
      <c r="B100" s="86" t="s">
        <v>29</v>
      </c>
      <c r="C100" s="299"/>
      <c r="D100" s="300"/>
      <c r="E100" s="278"/>
      <c r="F100" s="278"/>
      <c r="G100" s="279"/>
      <c r="H100" s="279"/>
      <c r="I100" s="287"/>
      <c r="J100" s="288"/>
      <c r="K100" s="282"/>
      <c r="L100" s="283"/>
      <c r="M100" s="283"/>
    </row>
    <row r="101" spans="1:14" x14ac:dyDescent="0.25">
      <c r="A101" s="290"/>
      <c r="B101" s="86"/>
      <c r="C101" s="299"/>
      <c r="D101" s="300"/>
      <c r="E101" s="278"/>
      <c r="F101" s="278"/>
      <c r="G101" s="279"/>
      <c r="H101" s="279"/>
      <c r="I101" s="287"/>
      <c r="J101" s="288"/>
      <c r="K101" s="282"/>
      <c r="L101" s="283"/>
      <c r="M101" s="283"/>
    </row>
    <row r="102" spans="1:14" ht="24" x14ac:dyDescent="0.25">
      <c r="A102" s="284">
        <v>5.0999999999999996</v>
      </c>
      <c r="B102" s="86" t="s">
        <v>324</v>
      </c>
      <c r="C102" s="291"/>
      <c r="D102" s="285"/>
      <c r="E102" s="277"/>
      <c r="F102" s="277"/>
      <c r="G102" s="279"/>
      <c r="H102" s="279"/>
      <c r="I102" s="287"/>
      <c r="J102" s="288"/>
      <c r="K102" s="282"/>
      <c r="L102" s="283"/>
      <c r="M102" s="283"/>
    </row>
    <row r="103" spans="1:14" ht="24" x14ac:dyDescent="0.25">
      <c r="A103" s="290">
        <v>5.1100000000000003</v>
      </c>
      <c r="B103" s="75" t="s">
        <v>282</v>
      </c>
      <c r="C103" s="291" t="s">
        <v>38</v>
      </c>
      <c r="D103" s="285">
        <v>56.84</v>
      </c>
      <c r="E103" s="277">
        <v>258.15675599999997</v>
      </c>
      <c r="F103" s="277">
        <f t="shared" si="44"/>
        <v>14673.630011039999</v>
      </c>
      <c r="G103" s="279"/>
      <c r="H103" s="279"/>
      <c r="I103" s="287"/>
      <c r="J103" s="288"/>
      <c r="K103" s="282"/>
      <c r="L103" s="283"/>
      <c r="M103" s="283"/>
    </row>
    <row r="104" spans="1:14" ht="24" x14ac:dyDescent="0.25">
      <c r="A104" s="290">
        <v>5.12</v>
      </c>
      <c r="B104" s="75" t="s">
        <v>325</v>
      </c>
      <c r="C104" s="291" t="s">
        <v>38</v>
      </c>
      <c r="D104" s="285">
        <v>1.79</v>
      </c>
      <c r="E104" s="277">
        <v>1285.83</v>
      </c>
      <c r="F104" s="277">
        <f t="shared" si="44"/>
        <v>2301.6356999999998</v>
      </c>
      <c r="G104" s="279"/>
      <c r="H104" s="279"/>
      <c r="I104" s="287"/>
      <c r="J104" s="288"/>
      <c r="K104" s="282"/>
      <c r="L104" s="283"/>
      <c r="M104" s="283"/>
    </row>
    <row r="105" spans="1:14" ht="36" x14ac:dyDescent="0.25">
      <c r="A105" s="290">
        <v>5.13</v>
      </c>
      <c r="B105" s="75" t="s">
        <v>283</v>
      </c>
      <c r="C105" s="291" t="s">
        <v>38</v>
      </c>
      <c r="D105" s="285">
        <v>49.11</v>
      </c>
      <c r="E105" s="277">
        <v>132.373244</v>
      </c>
      <c r="F105" s="277">
        <f t="shared" si="44"/>
        <v>6500.8500128400001</v>
      </c>
      <c r="G105" s="279"/>
      <c r="H105" s="279"/>
      <c r="I105" s="287"/>
      <c r="J105" s="288"/>
      <c r="K105" s="282"/>
      <c r="L105" s="283"/>
      <c r="M105" s="283"/>
    </row>
    <row r="106" spans="1:14" ht="48" x14ac:dyDescent="0.25">
      <c r="A106" s="290">
        <v>5.14</v>
      </c>
      <c r="B106" s="75" t="s">
        <v>284</v>
      </c>
      <c r="C106" s="291" t="s">
        <v>38</v>
      </c>
      <c r="D106" s="285">
        <v>9.2799999999999994</v>
      </c>
      <c r="E106" s="277">
        <v>200.60668100000001</v>
      </c>
      <c r="F106" s="277">
        <f t="shared" si="44"/>
        <v>1861.6299996799999</v>
      </c>
      <c r="G106" s="279"/>
      <c r="H106" s="279"/>
      <c r="I106" s="287"/>
      <c r="J106" s="288"/>
      <c r="K106" s="282"/>
      <c r="L106" s="283"/>
      <c r="M106" s="283"/>
      <c r="N106" t="s">
        <v>170</v>
      </c>
    </row>
    <row r="107" spans="1:14" x14ac:dyDescent="0.25">
      <c r="A107" s="290"/>
      <c r="B107" s="86" t="s">
        <v>29</v>
      </c>
      <c r="C107" s="299"/>
      <c r="D107" s="300"/>
      <c r="E107" s="278"/>
      <c r="F107" s="278">
        <f>SUM(F80:F106)</f>
        <v>910323.5257042601</v>
      </c>
      <c r="G107" s="279"/>
      <c r="H107" s="279"/>
      <c r="I107" s="287"/>
      <c r="J107" s="288"/>
      <c r="K107" s="282"/>
      <c r="L107" s="283"/>
      <c r="M107" s="283"/>
    </row>
    <row r="108" spans="1:14" x14ac:dyDescent="0.25">
      <c r="A108" s="290"/>
      <c r="B108" s="86" t="s">
        <v>301</v>
      </c>
      <c r="C108" s="299"/>
      <c r="D108" s="300"/>
      <c r="E108" s="278"/>
      <c r="F108" s="278">
        <f>F107+F77+F69+F60+F55-0.03</f>
        <v>5982075.3406784693</v>
      </c>
      <c r="G108" s="279"/>
      <c r="H108" s="279"/>
      <c r="I108" s="287"/>
      <c r="J108" s="288"/>
      <c r="K108" s="282"/>
      <c r="L108" s="283"/>
      <c r="M108" s="283"/>
    </row>
    <row r="109" spans="1:14" x14ac:dyDescent="0.25">
      <c r="A109" s="284" t="s">
        <v>326</v>
      </c>
      <c r="B109" s="86" t="s">
        <v>327</v>
      </c>
      <c r="C109" s="291"/>
      <c r="D109" s="285"/>
      <c r="E109" s="277"/>
      <c r="F109" s="277"/>
      <c r="G109" s="279"/>
      <c r="H109" s="279"/>
      <c r="I109" s="287"/>
      <c r="J109" s="288"/>
      <c r="K109" s="282"/>
      <c r="L109" s="283"/>
      <c r="M109" s="283"/>
    </row>
    <row r="110" spans="1:14" x14ac:dyDescent="0.25">
      <c r="A110" s="284">
        <v>1</v>
      </c>
      <c r="B110" s="86" t="s">
        <v>328</v>
      </c>
      <c r="C110" s="291"/>
      <c r="D110" s="285"/>
      <c r="E110" s="277"/>
      <c r="F110" s="277"/>
      <c r="G110" s="279"/>
      <c r="H110" s="279"/>
      <c r="I110" s="287"/>
      <c r="J110" s="288"/>
      <c r="K110" s="282"/>
      <c r="L110" s="283"/>
      <c r="M110" s="283"/>
    </row>
    <row r="111" spans="1:14" ht="60" x14ac:dyDescent="0.25">
      <c r="A111" s="290">
        <v>1.01</v>
      </c>
      <c r="B111" s="75" t="s">
        <v>329</v>
      </c>
      <c r="C111" s="291" t="s">
        <v>79</v>
      </c>
      <c r="D111" s="285">
        <v>1</v>
      </c>
      <c r="E111" s="292">
        <v>321812.16800000001</v>
      </c>
      <c r="F111" s="277">
        <f t="shared" si="44"/>
        <v>321812.16800000001</v>
      </c>
      <c r="G111" s="279"/>
      <c r="H111" s="279"/>
      <c r="I111" s="287"/>
      <c r="J111" s="288"/>
      <c r="K111" s="282"/>
      <c r="L111" s="283"/>
      <c r="M111" s="283"/>
    </row>
    <row r="112" spans="1:14" x14ac:dyDescent="0.25">
      <c r="A112" s="290">
        <v>1.02</v>
      </c>
      <c r="B112" s="75" t="s">
        <v>330</v>
      </c>
      <c r="C112" s="291" t="s">
        <v>38</v>
      </c>
      <c r="D112" s="285">
        <v>26.4</v>
      </c>
      <c r="E112" s="292">
        <v>258.15681818181821</v>
      </c>
      <c r="F112" s="277">
        <f t="shared" si="44"/>
        <v>6815.34</v>
      </c>
      <c r="G112" s="315"/>
      <c r="H112" s="279"/>
      <c r="I112" s="287"/>
      <c r="J112" s="288"/>
      <c r="K112" s="282"/>
      <c r="L112" s="283"/>
      <c r="M112" s="283"/>
    </row>
    <row r="113" spans="1:13" x14ac:dyDescent="0.25">
      <c r="A113" s="290">
        <v>1.03</v>
      </c>
      <c r="B113" s="75" t="s">
        <v>331</v>
      </c>
      <c r="C113" s="291" t="s">
        <v>38</v>
      </c>
      <c r="D113" s="285">
        <v>1.7</v>
      </c>
      <c r="E113" s="292">
        <v>1285.8352941176472</v>
      </c>
      <c r="F113" s="277">
        <f t="shared" si="44"/>
        <v>2185.92</v>
      </c>
      <c r="G113" s="279"/>
      <c r="H113" s="279"/>
      <c r="I113" s="287"/>
      <c r="J113" s="288"/>
      <c r="K113" s="282"/>
      <c r="L113" s="283"/>
      <c r="M113" s="283"/>
    </row>
    <row r="114" spans="1:13" x14ac:dyDescent="0.25">
      <c r="A114" s="290">
        <v>1.04</v>
      </c>
      <c r="B114" s="75" t="s">
        <v>332</v>
      </c>
      <c r="C114" s="291" t="s">
        <v>38</v>
      </c>
      <c r="D114" s="285">
        <v>2.21</v>
      </c>
      <c r="E114" s="277">
        <v>200.60633484162895</v>
      </c>
      <c r="F114" s="277">
        <f t="shared" si="44"/>
        <v>443.34</v>
      </c>
      <c r="G114" s="315"/>
      <c r="H114" s="279"/>
      <c r="I114" s="287"/>
      <c r="J114" s="288"/>
      <c r="K114" s="282"/>
      <c r="L114" s="283"/>
      <c r="M114" s="283"/>
    </row>
    <row r="115" spans="1:13" ht="24" x14ac:dyDescent="0.25">
      <c r="A115" s="290">
        <v>1.05</v>
      </c>
      <c r="B115" s="75" t="s">
        <v>333</v>
      </c>
      <c r="C115" s="291" t="s">
        <v>38</v>
      </c>
      <c r="D115" s="285">
        <v>23.47</v>
      </c>
      <c r="E115" s="277">
        <v>132.34512100000001</v>
      </c>
      <c r="F115" s="277">
        <f t="shared" si="44"/>
        <v>3106.1399898700001</v>
      </c>
      <c r="G115" s="279"/>
      <c r="H115" s="279"/>
      <c r="I115" s="287"/>
      <c r="J115" s="288"/>
      <c r="K115" s="282"/>
      <c r="L115" s="283"/>
      <c r="M115" s="283"/>
    </row>
    <row r="116" spans="1:13" x14ac:dyDescent="0.25">
      <c r="A116" s="290"/>
      <c r="B116" s="86" t="s">
        <v>29</v>
      </c>
      <c r="C116" s="299"/>
      <c r="D116" s="300"/>
      <c r="E116" s="278"/>
      <c r="F116" s="278">
        <f>SUM(F111:F115)-0.01</f>
        <v>334362.89798987005</v>
      </c>
      <c r="G116" s="279"/>
      <c r="H116" s="279"/>
      <c r="I116" s="287"/>
      <c r="J116" s="288"/>
      <c r="K116" s="282"/>
      <c r="L116" s="283"/>
      <c r="M116" s="283"/>
    </row>
    <row r="117" spans="1:13" ht="24" x14ac:dyDescent="0.25">
      <c r="A117" s="284" t="s">
        <v>58</v>
      </c>
      <c r="B117" s="86" t="s">
        <v>334</v>
      </c>
      <c r="C117" s="291"/>
      <c r="D117" s="285"/>
      <c r="E117" s="277"/>
      <c r="F117" s="277"/>
      <c r="G117" s="279"/>
      <c r="H117" s="279"/>
      <c r="I117" s="287"/>
      <c r="J117" s="288"/>
      <c r="K117" s="282"/>
      <c r="L117" s="283"/>
      <c r="M117" s="283"/>
    </row>
    <row r="118" spans="1:13" ht="24" x14ac:dyDescent="0.25">
      <c r="A118" s="304">
        <v>1</v>
      </c>
      <c r="B118" s="75" t="s">
        <v>335</v>
      </c>
      <c r="C118" s="326" t="s">
        <v>18</v>
      </c>
      <c r="D118" s="327">
        <v>16</v>
      </c>
      <c r="E118" s="328">
        <v>3343.41563</v>
      </c>
      <c r="F118" s="277">
        <f t="shared" si="44"/>
        <v>53494.650079999999</v>
      </c>
      <c r="G118" s="279"/>
      <c r="H118" s="279"/>
      <c r="I118" s="287"/>
      <c r="J118" s="288"/>
      <c r="K118" s="282"/>
      <c r="L118" s="283"/>
      <c r="M118" s="283"/>
    </row>
    <row r="119" spans="1:13" ht="24" x14ac:dyDescent="0.25">
      <c r="A119" s="304">
        <v>2</v>
      </c>
      <c r="B119" s="75" t="s">
        <v>336</v>
      </c>
      <c r="C119" s="326" t="s">
        <v>18</v>
      </c>
      <c r="D119" s="285">
        <v>8</v>
      </c>
      <c r="E119" s="277">
        <v>4326.1075000000001</v>
      </c>
      <c r="F119" s="277">
        <f t="shared" si="44"/>
        <v>34608.86</v>
      </c>
      <c r="G119" s="279"/>
      <c r="H119" s="279"/>
      <c r="I119" s="287"/>
      <c r="J119" s="288"/>
      <c r="K119" s="282"/>
      <c r="L119" s="283"/>
      <c r="M119" s="283"/>
    </row>
    <row r="120" spans="1:13" ht="24" x14ac:dyDescent="0.25">
      <c r="A120" s="290">
        <v>3</v>
      </c>
      <c r="B120" s="75" t="s">
        <v>337</v>
      </c>
      <c r="C120" s="326" t="s">
        <v>18</v>
      </c>
      <c r="D120" s="285">
        <v>20</v>
      </c>
      <c r="E120" s="277">
        <v>6435.8085000000001</v>
      </c>
      <c r="F120" s="277">
        <f t="shared" si="44"/>
        <v>128716.17</v>
      </c>
      <c r="G120" s="279"/>
      <c r="H120" s="279"/>
      <c r="I120" s="287"/>
      <c r="J120" s="288"/>
      <c r="K120" s="282"/>
      <c r="L120" s="283"/>
      <c r="M120" s="283"/>
    </row>
    <row r="121" spans="1:13" ht="24" x14ac:dyDescent="0.25">
      <c r="A121" s="290">
        <v>4</v>
      </c>
      <c r="B121" s="75" t="s">
        <v>338</v>
      </c>
      <c r="C121" s="326" t="s">
        <v>18</v>
      </c>
      <c r="D121" s="285">
        <v>12</v>
      </c>
      <c r="E121" s="277">
        <v>9589.5891699999993</v>
      </c>
      <c r="F121" s="277">
        <f t="shared" si="44"/>
        <v>115075.07003999999</v>
      </c>
      <c r="G121" s="279"/>
      <c r="H121" s="279"/>
      <c r="I121" s="287"/>
      <c r="J121" s="288"/>
      <c r="K121" s="282"/>
      <c r="L121" s="283"/>
      <c r="M121" s="283"/>
    </row>
    <row r="122" spans="1:13" ht="36" x14ac:dyDescent="0.25">
      <c r="A122" s="290">
        <v>5</v>
      </c>
      <c r="B122" s="75" t="s">
        <v>339</v>
      </c>
      <c r="C122" s="326" t="s">
        <v>18</v>
      </c>
      <c r="D122" s="285">
        <v>4</v>
      </c>
      <c r="E122" s="277">
        <v>57772.292500000003</v>
      </c>
      <c r="F122" s="277">
        <f t="shared" si="44"/>
        <v>231089.17</v>
      </c>
      <c r="G122" s="279"/>
      <c r="H122" s="279"/>
      <c r="I122" s="287"/>
      <c r="J122" s="288"/>
      <c r="K122" s="282"/>
      <c r="L122" s="283"/>
      <c r="M122" s="283"/>
    </row>
    <row r="123" spans="1:13" ht="36" x14ac:dyDescent="0.25">
      <c r="A123" s="290">
        <v>6</v>
      </c>
      <c r="B123" s="75" t="s">
        <v>340</v>
      </c>
      <c r="C123" s="326" t="s">
        <v>18</v>
      </c>
      <c r="D123" s="285">
        <v>4</v>
      </c>
      <c r="E123" s="277">
        <v>31752.3675</v>
      </c>
      <c r="F123" s="277">
        <f t="shared" si="44"/>
        <v>127009.47</v>
      </c>
      <c r="G123" s="279"/>
      <c r="H123" s="279"/>
      <c r="I123" s="287"/>
      <c r="J123" s="288"/>
      <c r="K123" s="282"/>
      <c r="L123" s="283"/>
      <c r="M123" s="283"/>
    </row>
    <row r="124" spans="1:13" ht="72" x14ac:dyDescent="0.25">
      <c r="A124" s="290">
        <v>7</v>
      </c>
      <c r="B124" s="75" t="s">
        <v>341</v>
      </c>
      <c r="C124" s="326" t="s">
        <v>18</v>
      </c>
      <c r="D124" s="285">
        <v>1</v>
      </c>
      <c r="E124" s="277">
        <v>389670.47</v>
      </c>
      <c r="F124" s="277">
        <f t="shared" si="44"/>
        <v>389670.47</v>
      </c>
      <c r="G124" s="279"/>
      <c r="H124" s="279"/>
      <c r="I124" s="287"/>
      <c r="J124" s="288"/>
      <c r="K124" s="282"/>
      <c r="L124" s="283"/>
      <c r="M124" s="283"/>
    </row>
    <row r="125" spans="1:13" x14ac:dyDescent="0.25">
      <c r="A125" s="290">
        <v>8</v>
      </c>
      <c r="B125" s="75" t="s">
        <v>342</v>
      </c>
      <c r="C125" s="326" t="s">
        <v>18</v>
      </c>
      <c r="D125" s="285">
        <v>48</v>
      </c>
      <c r="E125" s="277">
        <v>1826.4456299999999</v>
      </c>
      <c r="F125" s="277">
        <f t="shared" si="44"/>
        <v>87669.390239999993</v>
      </c>
      <c r="G125" s="279"/>
      <c r="H125" s="279"/>
      <c r="I125" s="287"/>
      <c r="J125" s="288"/>
      <c r="K125" s="282"/>
      <c r="L125" s="283"/>
      <c r="M125" s="283"/>
    </row>
    <row r="126" spans="1:13" x14ac:dyDescent="0.25">
      <c r="A126" s="290">
        <v>9</v>
      </c>
      <c r="B126" s="75" t="s">
        <v>343</v>
      </c>
      <c r="C126" s="326" t="s">
        <v>18</v>
      </c>
      <c r="D126" s="285">
        <v>64</v>
      </c>
      <c r="E126" s="277">
        <v>2756.0495299999998</v>
      </c>
      <c r="F126" s="277">
        <f t="shared" si="44"/>
        <v>176387.16991999999</v>
      </c>
      <c r="G126" s="279"/>
      <c r="H126" s="279"/>
      <c r="I126" s="287"/>
      <c r="J126" s="288"/>
      <c r="K126" s="282"/>
      <c r="L126" s="283"/>
      <c r="M126" s="283"/>
    </row>
    <row r="127" spans="1:13" x14ac:dyDescent="0.25">
      <c r="A127" s="290"/>
      <c r="B127" s="86" t="s">
        <v>29</v>
      </c>
      <c r="C127" s="329"/>
      <c r="D127" s="300"/>
      <c r="E127" s="278"/>
      <c r="F127" s="278">
        <f>SUM(F118:F126)</f>
        <v>1343720.42028</v>
      </c>
      <c r="G127" s="279"/>
      <c r="H127" s="279"/>
      <c r="I127" s="287"/>
      <c r="J127" s="288"/>
      <c r="K127" s="282"/>
      <c r="L127" s="283"/>
      <c r="M127" s="283"/>
    </row>
    <row r="128" spans="1:13" x14ac:dyDescent="0.25">
      <c r="A128" s="284" t="s">
        <v>62</v>
      </c>
      <c r="B128" s="86" t="s">
        <v>226</v>
      </c>
      <c r="C128" s="326"/>
      <c r="D128" s="285"/>
      <c r="E128" s="277"/>
      <c r="F128" s="277"/>
      <c r="G128" s="279"/>
      <c r="H128" s="279"/>
      <c r="I128" s="287"/>
      <c r="J128" s="288"/>
      <c r="K128" s="282"/>
      <c r="L128" s="283"/>
      <c r="M128" s="283"/>
    </row>
    <row r="129" spans="1:13" ht="72" x14ac:dyDescent="0.25">
      <c r="A129" s="304">
        <v>1</v>
      </c>
      <c r="B129" s="75" t="s">
        <v>344</v>
      </c>
      <c r="C129" s="326" t="s">
        <v>18</v>
      </c>
      <c r="D129" s="285">
        <v>1</v>
      </c>
      <c r="E129" s="277">
        <v>491973.76</v>
      </c>
      <c r="F129" s="277">
        <f t="shared" si="44"/>
        <v>491973.76</v>
      </c>
      <c r="G129" s="279"/>
      <c r="H129" s="279">
        <f>D129*0.5</f>
        <v>0.5</v>
      </c>
      <c r="I129" s="287"/>
      <c r="J129" s="288"/>
      <c r="K129" s="282"/>
      <c r="L129" s="283">
        <f t="shared" ref="L129:L135" si="45">H129*E129</f>
        <v>245986.88</v>
      </c>
      <c r="M129" s="283">
        <f t="shared" ref="M129:M136" si="46">K129+L129</f>
        <v>245986.88</v>
      </c>
    </row>
    <row r="130" spans="1:13" ht="48" x14ac:dyDescent="0.25">
      <c r="A130" s="290">
        <v>2</v>
      </c>
      <c r="B130" s="75" t="s">
        <v>345</v>
      </c>
      <c r="C130" s="326" t="s">
        <v>18</v>
      </c>
      <c r="D130" s="285">
        <v>1</v>
      </c>
      <c r="E130" s="277">
        <v>45733.62</v>
      </c>
      <c r="F130" s="277">
        <f t="shared" si="44"/>
        <v>45733.62</v>
      </c>
      <c r="G130" s="279"/>
      <c r="H130" s="279">
        <f t="shared" ref="H130:H135" si="47">D130*0.5</f>
        <v>0.5</v>
      </c>
      <c r="I130" s="287"/>
      <c r="J130" s="288"/>
      <c r="K130" s="282"/>
      <c r="L130" s="283">
        <f t="shared" si="45"/>
        <v>22866.81</v>
      </c>
      <c r="M130" s="283">
        <f t="shared" si="46"/>
        <v>22866.81</v>
      </c>
    </row>
    <row r="131" spans="1:13" ht="60" x14ac:dyDescent="0.25">
      <c r="A131" s="290">
        <v>3</v>
      </c>
      <c r="B131" s="75" t="s">
        <v>346</v>
      </c>
      <c r="C131" s="326" t="s">
        <v>18</v>
      </c>
      <c r="D131" s="285">
        <v>1</v>
      </c>
      <c r="E131" s="277">
        <v>41924.949999999997</v>
      </c>
      <c r="F131" s="277">
        <f t="shared" si="44"/>
        <v>41924.949999999997</v>
      </c>
      <c r="G131" s="279"/>
      <c r="H131" s="279">
        <f t="shared" si="47"/>
        <v>0.5</v>
      </c>
      <c r="I131" s="287"/>
      <c r="J131" s="288"/>
      <c r="K131" s="282"/>
      <c r="L131" s="283">
        <f t="shared" si="45"/>
        <v>20962.474999999999</v>
      </c>
      <c r="M131" s="283">
        <f t="shared" si="46"/>
        <v>20962.474999999999</v>
      </c>
    </row>
    <row r="132" spans="1:13" ht="36" x14ac:dyDescent="0.25">
      <c r="A132" s="290">
        <v>4</v>
      </c>
      <c r="B132" s="75" t="s">
        <v>347</v>
      </c>
      <c r="C132" s="326" t="s">
        <v>18</v>
      </c>
      <c r="D132" s="285">
        <v>1</v>
      </c>
      <c r="E132" s="277">
        <v>15710.07</v>
      </c>
      <c r="F132" s="277">
        <f t="shared" si="44"/>
        <v>15710.07</v>
      </c>
      <c r="G132" s="279"/>
      <c r="H132" s="279">
        <f t="shared" si="47"/>
        <v>0.5</v>
      </c>
      <c r="I132" s="287"/>
      <c r="J132" s="288"/>
      <c r="K132" s="282"/>
      <c r="L132" s="283">
        <f t="shared" si="45"/>
        <v>7855.0349999999999</v>
      </c>
      <c r="M132" s="283">
        <f t="shared" si="46"/>
        <v>7855.0349999999999</v>
      </c>
    </row>
    <row r="133" spans="1:13" ht="48" x14ac:dyDescent="0.25">
      <c r="A133" s="304">
        <v>5</v>
      </c>
      <c r="B133" s="75" t="s">
        <v>348</v>
      </c>
      <c r="C133" s="326" t="s">
        <v>18</v>
      </c>
      <c r="D133" s="327">
        <v>1</v>
      </c>
      <c r="E133" s="328">
        <v>7767.63</v>
      </c>
      <c r="F133" s="277">
        <f t="shared" si="44"/>
        <v>7767.63</v>
      </c>
      <c r="G133" s="279"/>
      <c r="H133" s="279">
        <f t="shared" si="47"/>
        <v>0.5</v>
      </c>
      <c r="I133" s="287"/>
      <c r="J133" s="288"/>
      <c r="K133" s="282"/>
      <c r="L133" s="283">
        <f t="shared" si="45"/>
        <v>3883.8150000000001</v>
      </c>
      <c r="M133" s="283">
        <f t="shared" si="46"/>
        <v>3883.8150000000001</v>
      </c>
    </row>
    <row r="134" spans="1:13" ht="24" x14ac:dyDescent="0.25">
      <c r="A134" s="304">
        <v>6</v>
      </c>
      <c r="B134" s="75" t="s">
        <v>349</v>
      </c>
      <c r="C134" s="326" t="s">
        <v>18</v>
      </c>
      <c r="D134" s="285">
        <v>1</v>
      </c>
      <c r="E134" s="277">
        <v>2005.2</v>
      </c>
      <c r="F134" s="277">
        <f t="shared" si="44"/>
        <v>2005.2</v>
      </c>
      <c r="G134" s="279"/>
      <c r="H134" s="279">
        <f t="shared" si="47"/>
        <v>0.5</v>
      </c>
      <c r="I134" s="287"/>
      <c r="J134" s="288"/>
      <c r="K134" s="282"/>
      <c r="L134" s="283">
        <f t="shared" si="45"/>
        <v>1002.6</v>
      </c>
      <c r="M134" s="283">
        <f t="shared" si="46"/>
        <v>1002.6</v>
      </c>
    </row>
    <row r="135" spans="1:13" ht="36" x14ac:dyDescent="0.25">
      <c r="A135" s="290">
        <v>7</v>
      </c>
      <c r="B135" s="75" t="s">
        <v>350</v>
      </c>
      <c r="C135" s="291" t="s">
        <v>33</v>
      </c>
      <c r="D135" s="285">
        <v>16</v>
      </c>
      <c r="E135" s="277">
        <v>3780</v>
      </c>
      <c r="F135" s="277">
        <f t="shared" si="44"/>
        <v>60480</v>
      </c>
      <c r="G135" s="279"/>
      <c r="H135" s="279">
        <f t="shared" si="47"/>
        <v>8</v>
      </c>
      <c r="I135" s="287"/>
      <c r="J135" s="288"/>
      <c r="K135" s="282"/>
      <c r="L135" s="283">
        <f t="shared" si="45"/>
        <v>30240</v>
      </c>
      <c r="M135" s="283">
        <f t="shared" si="46"/>
        <v>30240</v>
      </c>
    </row>
    <row r="136" spans="1:13" x14ac:dyDescent="0.25">
      <c r="A136" s="290"/>
      <c r="B136" s="86" t="s">
        <v>29</v>
      </c>
      <c r="C136" s="307"/>
      <c r="D136" s="300"/>
      <c r="E136" s="278"/>
      <c r="F136" s="278">
        <f>SUM(F129:F135)</f>
        <v>665595.22999999986</v>
      </c>
      <c r="G136" s="279"/>
      <c r="H136" s="279"/>
      <c r="I136" s="287"/>
      <c r="J136" s="288"/>
      <c r="K136" s="282"/>
      <c r="L136" s="295">
        <f>SUM(L129:L135)</f>
        <v>332797.61499999993</v>
      </c>
      <c r="M136" s="283">
        <f t="shared" si="46"/>
        <v>332797.61499999993</v>
      </c>
    </row>
    <row r="137" spans="1:13" x14ac:dyDescent="0.25">
      <c r="A137" s="284" t="s">
        <v>69</v>
      </c>
      <c r="B137" s="86" t="s">
        <v>234</v>
      </c>
      <c r="C137" s="297"/>
      <c r="D137" s="285"/>
      <c r="E137" s="277"/>
      <c r="F137" s="277"/>
      <c r="G137" s="279"/>
      <c r="H137" s="279"/>
      <c r="I137" s="287"/>
      <c r="J137" s="288"/>
      <c r="K137" s="282"/>
      <c r="L137" s="283"/>
      <c r="M137" s="283"/>
    </row>
    <row r="138" spans="1:13" ht="72" x14ac:dyDescent="0.25">
      <c r="A138" s="284">
        <v>1</v>
      </c>
      <c r="B138" s="75" t="s">
        <v>344</v>
      </c>
      <c r="C138" s="326" t="s">
        <v>18</v>
      </c>
      <c r="D138" s="327">
        <v>1</v>
      </c>
      <c r="E138" s="328">
        <v>491973.76</v>
      </c>
      <c r="F138" s="328">
        <f t="shared" si="44"/>
        <v>491973.76</v>
      </c>
      <c r="G138" s="330"/>
      <c r="H138" s="279">
        <f>D138*0.5</f>
        <v>0.5</v>
      </c>
      <c r="I138" s="287"/>
      <c r="J138" s="288"/>
      <c r="K138" s="282"/>
      <c r="L138" s="283">
        <f t="shared" ref="L138:L144" si="48">H138*E138</f>
        <v>245986.88</v>
      </c>
      <c r="M138" s="283">
        <f t="shared" ref="M138:M145" si="49">K138+L138</f>
        <v>245986.88</v>
      </c>
    </row>
    <row r="139" spans="1:13" ht="48" x14ac:dyDescent="0.25">
      <c r="A139" s="290">
        <v>2</v>
      </c>
      <c r="B139" s="75" t="s">
        <v>345</v>
      </c>
      <c r="C139" s="326" t="s">
        <v>18</v>
      </c>
      <c r="D139" s="327">
        <v>1</v>
      </c>
      <c r="E139" s="328">
        <v>45733.62</v>
      </c>
      <c r="F139" s="328">
        <f t="shared" si="44"/>
        <v>45733.62</v>
      </c>
      <c r="G139" s="279"/>
      <c r="H139" s="279">
        <f t="shared" ref="H139:H144" si="50">D139*0.5</f>
        <v>0.5</v>
      </c>
      <c r="I139" s="287"/>
      <c r="J139" s="288"/>
      <c r="K139" s="282"/>
      <c r="L139" s="283">
        <f t="shared" si="48"/>
        <v>22866.81</v>
      </c>
      <c r="M139" s="283">
        <f t="shared" si="49"/>
        <v>22866.81</v>
      </c>
    </row>
    <row r="140" spans="1:13" ht="60" x14ac:dyDescent="0.25">
      <c r="A140" s="290">
        <v>3</v>
      </c>
      <c r="B140" s="75" t="s">
        <v>346</v>
      </c>
      <c r="C140" s="326" t="s">
        <v>18</v>
      </c>
      <c r="D140" s="327">
        <v>1</v>
      </c>
      <c r="E140" s="328">
        <v>41924.949999999997</v>
      </c>
      <c r="F140" s="328">
        <f t="shared" si="44"/>
        <v>41924.949999999997</v>
      </c>
      <c r="G140" s="279"/>
      <c r="H140" s="279">
        <f t="shared" si="50"/>
        <v>0.5</v>
      </c>
      <c r="I140" s="287"/>
      <c r="J140" s="288"/>
      <c r="K140" s="282"/>
      <c r="L140" s="283">
        <f t="shared" si="48"/>
        <v>20962.474999999999</v>
      </c>
      <c r="M140" s="283">
        <f t="shared" si="49"/>
        <v>20962.474999999999</v>
      </c>
    </row>
    <row r="141" spans="1:13" ht="36" x14ac:dyDescent="0.25">
      <c r="A141" s="290">
        <v>4</v>
      </c>
      <c r="B141" s="75" t="s">
        <v>351</v>
      </c>
      <c r="C141" s="326" t="s">
        <v>18</v>
      </c>
      <c r="D141" s="327">
        <v>1</v>
      </c>
      <c r="E141" s="328">
        <v>15710.07</v>
      </c>
      <c r="F141" s="328">
        <f t="shared" si="44"/>
        <v>15710.07</v>
      </c>
      <c r="G141" s="279"/>
      <c r="H141" s="279">
        <f t="shared" si="50"/>
        <v>0.5</v>
      </c>
      <c r="I141" s="287"/>
      <c r="J141" s="288"/>
      <c r="K141" s="282"/>
      <c r="L141" s="283">
        <f t="shared" si="48"/>
        <v>7855.0349999999999</v>
      </c>
      <c r="M141" s="283">
        <f t="shared" si="49"/>
        <v>7855.0349999999999</v>
      </c>
    </row>
    <row r="142" spans="1:13" ht="48" x14ac:dyDescent="0.25">
      <c r="A142" s="284">
        <v>5</v>
      </c>
      <c r="B142" s="75" t="s">
        <v>348</v>
      </c>
      <c r="C142" s="326" t="s">
        <v>18</v>
      </c>
      <c r="D142" s="327">
        <v>1</v>
      </c>
      <c r="E142" s="328">
        <v>7767.63</v>
      </c>
      <c r="F142" s="328">
        <f t="shared" si="44"/>
        <v>7767.63</v>
      </c>
      <c r="G142" s="279"/>
      <c r="H142" s="279">
        <f t="shared" si="50"/>
        <v>0.5</v>
      </c>
      <c r="I142" s="287"/>
      <c r="J142" s="288"/>
      <c r="K142" s="282"/>
      <c r="L142" s="283">
        <f t="shared" si="48"/>
        <v>3883.8150000000001</v>
      </c>
      <c r="M142" s="283">
        <f t="shared" si="49"/>
        <v>3883.8150000000001</v>
      </c>
    </row>
    <row r="143" spans="1:13" ht="24" x14ac:dyDescent="0.25">
      <c r="A143" s="290">
        <v>6</v>
      </c>
      <c r="B143" s="75" t="s">
        <v>349</v>
      </c>
      <c r="C143" s="291" t="s">
        <v>18</v>
      </c>
      <c r="D143" s="285">
        <v>1</v>
      </c>
      <c r="E143" s="277">
        <v>2005.2</v>
      </c>
      <c r="F143" s="277">
        <f t="shared" si="44"/>
        <v>2005.2</v>
      </c>
      <c r="G143" s="279"/>
      <c r="H143" s="279">
        <f t="shared" si="50"/>
        <v>0.5</v>
      </c>
      <c r="I143" s="287"/>
      <c r="J143" s="288"/>
      <c r="K143" s="282"/>
      <c r="L143" s="283">
        <f t="shared" si="48"/>
        <v>1002.6</v>
      </c>
      <c r="M143" s="283">
        <f t="shared" si="49"/>
        <v>1002.6</v>
      </c>
    </row>
    <row r="144" spans="1:13" ht="36" x14ac:dyDescent="0.25">
      <c r="A144" s="290">
        <v>7</v>
      </c>
      <c r="B144" s="75" t="s">
        <v>350</v>
      </c>
      <c r="C144" s="291" t="s">
        <v>33</v>
      </c>
      <c r="D144" s="285">
        <v>16</v>
      </c>
      <c r="E144" s="277">
        <v>3780</v>
      </c>
      <c r="F144" s="277">
        <f t="shared" si="44"/>
        <v>60480</v>
      </c>
      <c r="G144" s="279"/>
      <c r="H144" s="279">
        <f t="shared" si="50"/>
        <v>8</v>
      </c>
      <c r="I144" s="287"/>
      <c r="J144" s="288"/>
      <c r="K144" s="282"/>
      <c r="L144" s="283">
        <f t="shared" si="48"/>
        <v>30240</v>
      </c>
      <c r="M144" s="283">
        <f t="shared" si="49"/>
        <v>30240</v>
      </c>
    </row>
    <row r="145" spans="1:13" x14ac:dyDescent="0.25">
      <c r="A145" s="290"/>
      <c r="B145" s="86" t="s">
        <v>29</v>
      </c>
      <c r="C145" s="299"/>
      <c r="D145" s="300"/>
      <c r="E145" s="278"/>
      <c r="F145" s="278">
        <f>SUM(F138:F144)</f>
        <v>665595.22999999986</v>
      </c>
      <c r="G145" s="279"/>
      <c r="H145" s="279"/>
      <c r="I145" s="287"/>
      <c r="J145" s="288"/>
      <c r="K145" s="282"/>
      <c r="L145" s="295">
        <f>SUM(L138:L144)</f>
        <v>332797.61499999993</v>
      </c>
      <c r="M145" s="283">
        <f t="shared" si="49"/>
        <v>332797.61499999993</v>
      </c>
    </row>
    <row r="146" spans="1:13" x14ac:dyDescent="0.25">
      <c r="A146" s="290"/>
      <c r="B146" s="86"/>
      <c r="C146" s="299"/>
      <c r="D146" s="300"/>
      <c r="E146" s="278"/>
      <c r="F146" s="278"/>
      <c r="G146" s="279"/>
      <c r="H146" s="279"/>
      <c r="I146" s="287"/>
      <c r="J146" s="288"/>
      <c r="K146" s="282"/>
      <c r="L146" s="283"/>
      <c r="M146" s="283"/>
    </row>
    <row r="147" spans="1:13" x14ac:dyDescent="0.25">
      <c r="A147" s="290"/>
      <c r="B147" s="86"/>
      <c r="C147" s="299"/>
      <c r="D147" s="300"/>
      <c r="E147" s="278"/>
      <c r="F147" s="278"/>
      <c r="G147" s="279"/>
      <c r="H147" s="279"/>
      <c r="I147" s="287"/>
      <c r="J147" s="288"/>
      <c r="K147" s="282"/>
      <c r="L147" s="283"/>
      <c r="M147" s="283"/>
    </row>
    <row r="148" spans="1:13" x14ac:dyDescent="0.25">
      <c r="A148" s="284" t="s">
        <v>76</v>
      </c>
      <c r="B148" s="86" t="s">
        <v>352</v>
      </c>
      <c r="C148" s="291"/>
      <c r="D148" s="285"/>
      <c r="E148" s="277"/>
      <c r="F148" s="277"/>
      <c r="G148" s="279"/>
      <c r="H148" s="279"/>
      <c r="I148" s="287"/>
      <c r="J148" s="288"/>
      <c r="K148" s="282"/>
      <c r="L148" s="283"/>
      <c r="M148" s="283"/>
    </row>
    <row r="149" spans="1:13" ht="72" x14ac:dyDescent="0.25">
      <c r="A149" s="290">
        <v>1</v>
      </c>
      <c r="B149" s="75" t="s">
        <v>344</v>
      </c>
      <c r="C149" s="291" t="s">
        <v>18</v>
      </c>
      <c r="D149" s="285">
        <v>1</v>
      </c>
      <c r="E149" s="277">
        <v>491973.76</v>
      </c>
      <c r="F149" s="277">
        <v>491973.76</v>
      </c>
      <c r="G149" s="279"/>
      <c r="H149" s="279">
        <f>D149*0.5</f>
        <v>0.5</v>
      </c>
      <c r="I149" s="287"/>
      <c r="J149" s="288"/>
      <c r="K149" s="282"/>
      <c r="L149" s="283">
        <f t="shared" ref="L149:L155" si="51">H149*E149</f>
        <v>245986.88</v>
      </c>
      <c r="M149" s="283">
        <f t="shared" ref="M149:M156" si="52">K149+L149</f>
        <v>245986.88</v>
      </c>
    </row>
    <row r="150" spans="1:13" ht="48" x14ac:dyDescent="0.25">
      <c r="A150" s="290">
        <v>2</v>
      </c>
      <c r="B150" s="75" t="s">
        <v>345</v>
      </c>
      <c r="C150" s="291" t="s">
        <v>18</v>
      </c>
      <c r="D150" s="285">
        <v>1</v>
      </c>
      <c r="E150" s="277">
        <v>45733.62</v>
      </c>
      <c r="F150" s="277">
        <v>45733.62</v>
      </c>
      <c r="G150" s="279"/>
      <c r="H150" s="279">
        <f t="shared" ref="H150:H155" si="53">D150*0.5</f>
        <v>0.5</v>
      </c>
      <c r="I150" s="287"/>
      <c r="J150" s="288"/>
      <c r="K150" s="282"/>
      <c r="L150" s="283">
        <f t="shared" si="51"/>
        <v>22866.81</v>
      </c>
      <c r="M150" s="283">
        <f t="shared" si="52"/>
        <v>22866.81</v>
      </c>
    </row>
    <row r="151" spans="1:13" ht="60" x14ac:dyDescent="0.25">
      <c r="A151" s="290">
        <v>3</v>
      </c>
      <c r="B151" s="75" t="s">
        <v>346</v>
      </c>
      <c r="C151" s="291" t="s">
        <v>18</v>
      </c>
      <c r="D151" s="285">
        <v>1</v>
      </c>
      <c r="E151" s="277">
        <v>41924.949999999997</v>
      </c>
      <c r="F151" s="277">
        <v>41924.949999999997</v>
      </c>
      <c r="G151" s="279"/>
      <c r="H151" s="279">
        <f t="shared" si="53"/>
        <v>0.5</v>
      </c>
      <c r="I151" s="287"/>
      <c r="J151" s="288"/>
      <c r="K151" s="282"/>
      <c r="L151" s="283">
        <f t="shared" si="51"/>
        <v>20962.474999999999</v>
      </c>
      <c r="M151" s="283">
        <f t="shared" si="52"/>
        <v>20962.474999999999</v>
      </c>
    </row>
    <row r="152" spans="1:13" ht="36" x14ac:dyDescent="0.25">
      <c r="A152" s="290">
        <v>4</v>
      </c>
      <c r="B152" s="75" t="s">
        <v>351</v>
      </c>
      <c r="C152" s="291" t="s">
        <v>18</v>
      </c>
      <c r="D152" s="285">
        <v>1</v>
      </c>
      <c r="E152" s="277">
        <v>15710.07</v>
      </c>
      <c r="F152" s="277">
        <v>15710.07</v>
      </c>
      <c r="G152" s="279"/>
      <c r="H152" s="279">
        <f t="shared" si="53"/>
        <v>0.5</v>
      </c>
      <c r="I152" s="287"/>
      <c r="J152" s="288"/>
      <c r="K152" s="282"/>
      <c r="L152" s="283">
        <f t="shared" si="51"/>
        <v>7855.0349999999999</v>
      </c>
      <c r="M152" s="283">
        <f t="shared" si="52"/>
        <v>7855.0349999999999</v>
      </c>
    </row>
    <row r="153" spans="1:13" ht="48" x14ac:dyDescent="0.25">
      <c r="A153" s="290">
        <v>5</v>
      </c>
      <c r="B153" s="75" t="s">
        <v>348</v>
      </c>
      <c r="C153" s="291" t="s">
        <v>18</v>
      </c>
      <c r="D153" s="285">
        <v>1</v>
      </c>
      <c r="E153" s="277">
        <v>7767.63</v>
      </c>
      <c r="F153" s="277">
        <v>7767.63</v>
      </c>
      <c r="G153" s="279"/>
      <c r="H153" s="279">
        <f t="shared" si="53"/>
        <v>0.5</v>
      </c>
      <c r="I153" s="287"/>
      <c r="J153" s="288"/>
      <c r="K153" s="282"/>
      <c r="L153" s="283">
        <f t="shared" si="51"/>
        <v>3883.8150000000001</v>
      </c>
      <c r="M153" s="283">
        <f t="shared" si="52"/>
        <v>3883.8150000000001</v>
      </c>
    </row>
    <row r="154" spans="1:13" ht="24" x14ac:dyDescent="0.25">
      <c r="A154" s="290">
        <v>6</v>
      </c>
      <c r="B154" s="75" t="s">
        <v>349</v>
      </c>
      <c r="C154" s="291" t="s">
        <v>18</v>
      </c>
      <c r="D154" s="285">
        <v>1</v>
      </c>
      <c r="E154" s="277">
        <v>2005.2</v>
      </c>
      <c r="F154" s="277">
        <v>2005.2</v>
      </c>
      <c r="G154" s="279"/>
      <c r="H154" s="279">
        <f t="shared" si="53"/>
        <v>0.5</v>
      </c>
      <c r="I154" s="287"/>
      <c r="J154" s="288"/>
      <c r="K154" s="282"/>
      <c r="L154" s="283">
        <f t="shared" si="51"/>
        <v>1002.6</v>
      </c>
      <c r="M154" s="283">
        <f t="shared" si="52"/>
        <v>1002.6</v>
      </c>
    </row>
    <row r="155" spans="1:13" ht="36" x14ac:dyDescent="0.25">
      <c r="A155" s="290">
        <v>7</v>
      </c>
      <c r="B155" s="75" t="s">
        <v>350</v>
      </c>
      <c r="C155" s="291" t="s">
        <v>33</v>
      </c>
      <c r="D155" s="285">
        <v>16</v>
      </c>
      <c r="E155" s="277">
        <v>3780</v>
      </c>
      <c r="F155" s="277">
        <v>60480</v>
      </c>
      <c r="G155" s="279"/>
      <c r="H155" s="279">
        <f t="shared" si="53"/>
        <v>8</v>
      </c>
      <c r="I155" s="287"/>
      <c r="J155" s="288"/>
      <c r="K155" s="282"/>
      <c r="L155" s="283">
        <f t="shared" si="51"/>
        <v>30240</v>
      </c>
      <c r="M155" s="283">
        <f t="shared" si="52"/>
        <v>30240</v>
      </c>
    </row>
    <row r="156" spans="1:13" x14ac:dyDescent="0.25">
      <c r="A156" s="290"/>
      <c r="B156" s="86" t="s">
        <v>29</v>
      </c>
      <c r="C156" s="291"/>
      <c r="D156" s="285"/>
      <c r="E156" s="277"/>
      <c r="F156" s="278">
        <v>665595.22999999986</v>
      </c>
      <c r="G156" s="279"/>
      <c r="H156" s="279"/>
      <c r="I156" s="287"/>
      <c r="J156" s="288"/>
      <c r="K156" s="282"/>
      <c r="L156" s="295">
        <f>SUM(L149:L155)</f>
        <v>332797.61499999993</v>
      </c>
      <c r="M156" s="295">
        <f t="shared" si="52"/>
        <v>332797.61499999993</v>
      </c>
    </row>
    <row r="157" spans="1:13" x14ac:dyDescent="0.25">
      <c r="A157" s="290"/>
      <c r="B157" s="86"/>
      <c r="C157" s="291"/>
      <c r="D157" s="285"/>
      <c r="E157" s="277"/>
      <c r="F157" s="277"/>
      <c r="G157" s="279"/>
      <c r="H157" s="279"/>
      <c r="I157" s="287"/>
      <c r="J157" s="288"/>
      <c r="K157" s="282"/>
      <c r="L157" s="283"/>
      <c r="M157" s="283"/>
    </row>
    <row r="158" spans="1:13" x14ac:dyDescent="0.25">
      <c r="A158" s="284" t="s">
        <v>83</v>
      </c>
      <c r="B158" s="86" t="s">
        <v>353</v>
      </c>
      <c r="C158" s="291"/>
      <c r="D158" s="285"/>
      <c r="E158" s="277"/>
      <c r="F158" s="277"/>
      <c r="G158" s="279"/>
      <c r="H158" s="279"/>
      <c r="I158" s="287"/>
      <c r="J158" s="288"/>
      <c r="K158" s="282"/>
      <c r="L158" s="283"/>
      <c r="M158" s="283"/>
    </row>
    <row r="159" spans="1:13" ht="72" x14ac:dyDescent="0.25">
      <c r="A159" s="290">
        <v>1</v>
      </c>
      <c r="B159" s="75" t="s">
        <v>344</v>
      </c>
      <c r="C159" s="291" t="s">
        <v>18</v>
      </c>
      <c r="D159" s="285">
        <v>1</v>
      </c>
      <c r="E159" s="277">
        <v>491973.76</v>
      </c>
      <c r="F159" s="277">
        <v>491973.76</v>
      </c>
      <c r="G159" s="279"/>
      <c r="H159" s="279">
        <f>D159*0.5</f>
        <v>0.5</v>
      </c>
      <c r="I159" s="287"/>
      <c r="J159" s="288"/>
      <c r="K159" s="282"/>
      <c r="L159" s="283">
        <f t="shared" ref="L159:L165" si="54">H159*E159</f>
        <v>245986.88</v>
      </c>
      <c r="M159" s="283">
        <f t="shared" ref="M159:M166" si="55">K159+L159</f>
        <v>245986.88</v>
      </c>
    </row>
    <row r="160" spans="1:13" ht="48" x14ac:dyDescent="0.25">
      <c r="A160" s="290">
        <v>2</v>
      </c>
      <c r="B160" s="75" t="s">
        <v>345</v>
      </c>
      <c r="C160" s="291" t="s">
        <v>18</v>
      </c>
      <c r="D160" s="285">
        <v>1</v>
      </c>
      <c r="E160" s="277">
        <v>45733.62</v>
      </c>
      <c r="F160" s="277">
        <v>45733.62</v>
      </c>
      <c r="G160" s="279"/>
      <c r="H160" s="279">
        <f t="shared" ref="H160:H165" si="56">D160*0.5</f>
        <v>0.5</v>
      </c>
      <c r="I160" s="287"/>
      <c r="J160" s="288"/>
      <c r="K160" s="282"/>
      <c r="L160" s="283">
        <f t="shared" si="54"/>
        <v>22866.81</v>
      </c>
      <c r="M160" s="283">
        <f t="shared" si="55"/>
        <v>22866.81</v>
      </c>
    </row>
    <row r="161" spans="1:13" ht="60" x14ac:dyDescent="0.25">
      <c r="A161" s="290">
        <v>3</v>
      </c>
      <c r="B161" s="75" t="s">
        <v>346</v>
      </c>
      <c r="C161" s="291" t="s">
        <v>18</v>
      </c>
      <c r="D161" s="285">
        <v>1</v>
      </c>
      <c r="E161" s="277">
        <v>41924.949999999997</v>
      </c>
      <c r="F161" s="277">
        <v>41924.949999999997</v>
      </c>
      <c r="G161" s="279"/>
      <c r="H161" s="279">
        <f t="shared" si="56"/>
        <v>0.5</v>
      </c>
      <c r="I161" s="287"/>
      <c r="J161" s="288"/>
      <c r="K161" s="282"/>
      <c r="L161" s="283">
        <f t="shared" si="54"/>
        <v>20962.474999999999</v>
      </c>
      <c r="M161" s="283">
        <f t="shared" si="55"/>
        <v>20962.474999999999</v>
      </c>
    </row>
    <row r="162" spans="1:13" ht="36" x14ac:dyDescent="0.25">
      <c r="A162" s="290">
        <v>4</v>
      </c>
      <c r="B162" s="75" t="s">
        <v>351</v>
      </c>
      <c r="C162" s="291" t="s">
        <v>18</v>
      </c>
      <c r="D162" s="285">
        <v>1</v>
      </c>
      <c r="E162" s="277">
        <v>15710.07</v>
      </c>
      <c r="F162" s="277">
        <v>15710.07</v>
      </c>
      <c r="G162" s="279"/>
      <c r="H162" s="279">
        <f t="shared" si="56"/>
        <v>0.5</v>
      </c>
      <c r="I162" s="287"/>
      <c r="J162" s="288"/>
      <c r="K162" s="282"/>
      <c r="L162" s="283">
        <f t="shared" si="54"/>
        <v>7855.0349999999999</v>
      </c>
      <c r="M162" s="283">
        <f t="shared" si="55"/>
        <v>7855.0349999999999</v>
      </c>
    </row>
    <row r="163" spans="1:13" ht="48" x14ac:dyDescent="0.25">
      <c r="A163" s="290">
        <v>5</v>
      </c>
      <c r="B163" s="75" t="s">
        <v>348</v>
      </c>
      <c r="C163" s="291" t="s">
        <v>18</v>
      </c>
      <c r="D163" s="285">
        <v>1</v>
      </c>
      <c r="E163" s="277">
        <v>7767.63</v>
      </c>
      <c r="F163" s="277">
        <v>7767.63</v>
      </c>
      <c r="G163" s="279"/>
      <c r="H163" s="279">
        <f t="shared" si="56"/>
        <v>0.5</v>
      </c>
      <c r="I163" s="287"/>
      <c r="J163" s="288"/>
      <c r="K163" s="282"/>
      <c r="L163" s="283">
        <f t="shared" si="54"/>
        <v>3883.8150000000001</v>
      </c>
      <c r="M163" s="283">
        <f t="shared" si="55"/>
        <v>3883.8150000000001</v>
      </c>
    </row>
    <row r="164" spans="1:13" ht="24" x14ac:dyDescent="0.25">
      <c r="A164" s="290">
        <v>6</v>
      </c>
      <c r="B164" s="75" t="s">
        <v>349</v>
      </c>
      <c r="C164" s="291" t="s">
        <v>18</v>
      </c>
      <c r="D164" s="285">
        <v>1</v>
      </c>
      <c r="E164" s="277">
        <v>2005.2</v>
      </c>
      <c r="F164" s="277">
        <v>2005.2</v>
      </c>
      <c r="G164" s="279"/>
      <c r="H164" s="279">
        <f t="shared" si="56"/>
        <v>0.5</v>
      </c>
      <c r="I164" s="287"/>
      <c r="J164" s="288"/>
      <c r="K164" s="282"/>
      <c r="L164" s="283">
        <f t="shared" si="54"/>
        <v>1002.6</v>
      </c>
      <c r="M164" s="283">
        <f t="shared" si="55"/>
        <v>1002.6</v>
      </c>
    </row>
    <row r="165" spans="1:13" ht="36" x14ac:dyDescent="0.25">
      <c r="A165" s="290">
        <v>7</v>
      </c>
      <c r="B165" s="75" t="s">
        <v>350</v>
      </c>
      <c r="C165" s="291" t="s">
        <v>33</v>
      </c>
      <c r="D165" s="285">
        <v>16</v>
      </c>
      <c r="E165" s="277">
        <v>3780</v>
      </c>
      <c r="F165" s="277">
        <v>60480</v>
      </c>
      <c r="G165" s="279"/>
      <c r="H165" s="279">
        <f t="shared" si="56"/>
        <v>8</v>
      </c>
      <c r="I165" s="287"/>
      <c r="J165" s="288"/>
      <c r="K165" s="282"/>
      <c r="L165" s="283">
        <f t="shared" si="54"/>
        <v>30240</v>
      </c>
      <c r="M165" s="283">
        <f t="shared" si="55"/>
        <v>30240</v>
      </c>
    </row>
    <row r="166" spans="1:13" x14ac:dyDescent="0.25">
      <c r="A166" s="290"/>
      <c r="B166" s="86" t="s">
        <v>29</v>
      </c>
      <c r="C166" s="291"/>
      <c r="D166" s="285"/>
      <c r="E166" s="277"/>
      <c r="F166" s="278">
        <v>665595.22999999986</v>
      </c>
      <c r="G166" s="279"/>
      <c r="H166" s="279"/>
      <c r="I166" s="287"/>
      <c r="J166" s="288"/>
      <c r="K166" s="282"/>
      <c r="L166" s="295">
        <f>SUM(L159:L165)</f>
        <v>332797.61499999993</v>
      </c>
      <c r="M166" s="295">
        <f t="shared" si="55"/>
        <v>332797.61499999993</v>
      </c>
    </row>
    <row r="167" spans="1:13" x14ac:dyDescent="0.25">
      <c r="A167" s="290"/>
      <c r="B167" s="86"/>
      <c r="C167" s="291"/>
      <c r="D167" s="285"/>
      <c r="E167" s="277"/>
      <c r="F167" s="277"/>
      <c r="G167" s="279"/>
      <c r="H167" s="279"/>
      <c r="I167" s="287"/>
      <c r="J167" s="288"/>
      <c r="K167" s="282"/>
      <c r="L167" s="283"/>
      <c r="M167" s="283"/>
    </row>
    <row r="168" spans="1:13" x14ac:dyDescent="0.25">
      <c r="A168" s="284" t="s">
        <v>88</v>
      </c>
      <c r="B168" s="86" t="s">
        <v>354</v>
      </c>
      <c r="C168" s="291"/>
      <c r="D168" s="285"/>
      <c r="E168" s="277"/>
      <c r="F168" s="277"/>
      <c r="G168" s="279"/>
      <c r="H168" s="279"/>
      <c r="I168" s="287"/>
      <c r="J168" s="288"/>
      <c r="K168" s="282"/>
      <c r="L168" s="283"/>
      <c r="M168" s="283"/>
    </row>
    <row r="169" spans="1:13" ht="72" x14ac:dyDescent="0.25">
      <c r="A169" s="290">
        <v>1</v>
      </c>
      <c r="B169" s="75" t="s">
        <v>344</v>
      </c>
      <c r="C169" s="291" t="s">
        <v>18</v>
      </c>
      <c r="D169" s="285">
        <v>1</v>
      </c>
      <c r="E169" s="277">
        <v>491973.76</v>
      </c>
      <c r="F169" s="277">
        <v>491973.76</v>
      </c>
      <c r="G169" s="279"/>
      <c r="H169" s="279">
        <f>D169*0.5</f>
        <v>0.5</v>
      </c>
      <c r="I169" s="287"/>
      <c r="J169" s="288"/>
      <c r="K169" s="282"/>
      <c r="L169" s="283">
        <f t="shared" ref="L169:L175" si="57">H169*E169</f>
        <v>245986.88</v>
      </c>
      <c r="M169" s="283">
        <f t="shared" ref="M169:M176" si="58">K169+L169</f>
        <v>245986.88</v>
      </c>
    </row>
    <row r="170" spans="1:13" ht="48" x14ac:dyDescent="0.25">
      <c r="A170" s="290">
        <v>2</v>
      </c>
      <c r="B170" s="75" t="s">
        <v>345</v>
      </c>
      <c r="C170" s="291" t="s">
        <v>18</v>
      </c>
      <c r="D170" s="285">
        <v>1</v>
      </c>
      <c r="E170" s="277">
        <v>45733.62</v>
      </c>
      <c r="F170" s="277">
        <v>45733.62</v>
      </c>
      <c r="G170" s="279"/>
      <c r="H170" s="279">
        <f t="shared" ref="H170:H175" si="59">D170*0.5</f>
        <v>0.5</v>
      </c>
      <c r="I170" s="287"/>
      <c r="J170" s="288"/>
      <c r="K170" s="282"/>
      <c r="L170" s="283">
        <f t="shared" si="57"/>
        <v>22866.81</v>
      </c>
      <c r="M170" s="283">
        <f t="shared" si="58"/>
        <v>22866.81</v>
      </c>
    </row>
    <row r="171" spans="1:13" ht="60" x14ac:dyDescent="0.25">
      <c r="A171" s="290">
        <v>3</v>
      </c>
      <c r="B171" s="75" t="s">
        <v>346</v>
      </c>
      <c r="C171" s="291" t="s">
        <v>18</v>
      </c>
      <c r="D171" s="285">
        <v>1</v>
      </c>
      <c r="E171" s="277">
        <v>41924.949999999997</v>
      </c>
      <c r="F171" s="277">
        <v>41924.949999999997</v>
      </c>
      <c r="G171" s="279"/>
      <c r="H171" s="279">
        <f t="shared" si="59"/>
        <v>0.5</v>
      </c>
      <c r="I171" s="287"/>
      <c r="J171" s="288"/>
      <c r="K171" s="282"/>
      <c r="L171" s="283">
        <f t="shared" si="57"/>
        <v>20962.474999999999</v>
      </c>
      <c r="M171" s="283">
        <f t="shared" si="58"/>
        <v>20962.474999999999</v>
      </c>
    </row>
    <row r="172" spans="1:13" ht="36" x14ac:dyDescent="0.25">
      <c r="A172" s="290">
        <v>4</v>
      </c>
      <c r="B172" s="75" t="s">
        <v>351</v>
      </c>
      <c r="C172" s="291" t="s">
        <v>18</v>
      </c>
      <c r="D172" s="285">
        <v>1</v>
      </c>
      <c r="E172" s="277">
        <v>15710.07</v>
      </c>
      <c r="F172" s="277">
        <v>15710.07</v>
      </c>
      <c r="G172" s="279"/>
      <c r="H172" s="279">
        <f t="shared" si="59"/>
        <v>0.5</v>
      </c>
      <c r="I172" s="287"/>
      <c r="J172" s="288"/>
      <c r="K172" s="282"/>
      <c r="L172" s="283">
        <f t="shared" si="57"/>
        <v>7855.0349999999999</v>
      </c>
      <c r="M172" s="283">
        <f t="shared" si="58"/>
        <v>7855.0349999999999</v>
      </c>
    </row>
    <row r="173" spans="1:13" ht="48" x14ac:dyDescent="0.25">
      <c r="A173" s="290">
        <v>5</v>
      </c>
      <c r="B173" s="75" t="s">
        <v>348</v>
      </c>
      <c r="C173" s="291" t="s">
        <v>18</v>
      </c>
      <c r="D173" s="285">
        <v>1</v>
      </c>
      <c r="E173" s="277">
        <v>7767.63</v>
      </c>
      <c r="F173" s="277">
        <v>7767.63</v>
      </c>
      <c r="G173" s="279"/>
      <c r="H173" s="279">
        <f t="shared" si="59"/>
        <v>0.5</v>
      </c>
      <c r="I173" s="287"/>
      <c r="J173" s="288"/>
      <c r="K173" s="282"/>
      <c r="L173" s="283">
        <f t="shared" si="57"/>
        <v>3883.8150000000001</v>
      </c>
      <c r="M173" s="283">
        <f t="shared" si="58"/>
        <v>3883.8150000000001</v>
      </c>
    </row>
    <row r="174" spans="1:13" ht="24" x14ac:dyDescent="0.25">
      <c r="A174" s="290">
        <v>6</v>
      </c>
      <c r="B174" s="75" t="s">
        <v>349</v>
      </c>
      <c r="C174" s="291" t="s">
        <v>18</v>
      </c>
      <c r="D174" s="285">
        <v>1</v>
      </c>
      <c r="E174" s="277">
        <v>2005.2</v>
      </c>
      <c r="F174" s="277">
        <v>2005.2</v>
      </c>
      <c r="G174" s="279"/>
      <c r="H174" s="279">
        <f t="shared" si="59"/>
        <v>0.5</v>
      </c>
      <c r="I174" s="287"/>
      <c r="J174" s="288"/>
      <c r="K174" s="282"/>
      <c r="L174" s="283">
        <f t="shared" si="57"/>
        <v>1002.6</v>
      </c>
      <c r="M174" s="283">
        <f t="shared" si="58"/>
        <v>1002.6</v>
      </c>
    </row>
    <row r="175" spans="1:13" ht="36" x14ac:dyDescent="0.25">
      <c r="A175" s="290">
        <v>7</v>
      </c>
      <c r="B175" s="75" t="s">
        <v>350</v>
      </c>
      <c r="C175" s="291" t="s">
        <v>33</v>
      </c>
      <c r="D175" s="285">
        <v>16</v>
      </c>
      <c r="E175" s="277">
        <v>3780</v>
      </c>
      <c r="F175" s="277">
        <v>60480</v>
      </c>
      <c r="G175" s="279"/>
      <c r="H175" s="279">
        <f t="shared" si="59"/>
        <v>8</v>
      </c>
      <c r="I175" s="287"/>
      <c r="J175" s="288"/>
      <c r="K175" s="282"/>
      <c r="L175" s="283">
        <f t="shared" si="57"/>
        <v>30240</v>
      </c>
      <c r="M175" s="283">
        <f t="shared" si="58"/>
        <v>30240</v>
      </c>
    </row>
    <row r="176" spans="1:13" x14ac:dyDescent="0.25">
      <c r="A176" s="290"/>
      <c r="B176" s="86" t="s">
        <v>29</v>
      </c>
      <c r="C176" s="291"/>
      <c r="D176" s="285"/>
      <c r="E176" s="277"/>
      <c r="F176" s="278">
        <v>665595.22999999986</v>
      </c>
      <c r="G176" s="279"/>
      <c r="H176" s="279"/>
      <c r="I176" s="287"/>
      <c r="J176" s="288"/>
      <c r="K176" s="282"/>
      <c r="L176" s="295">
        <f>SUM(L169:L175)</f>
        <v>332797.61499999993</v>
      </c>
      <c r="M176" s="295">
        <f t="shared" si="58"/>
        <v>332797.61499999993</v>
      </c>
    </row>
    <row r="177" spans="1:13" x14ac:dyDescent="0.25">
      <c r="A177" s="290"/>
      <c r="B177" s="86"/>
      <c r="C177" s="291"/>
      <c r="D177" s="285"/>
      <c r="E177" s="277"/>
      <c r="F177" s="277"/>
      <c r="G177" s="279"/>
      <c r="H177" s="279"/>
      <c r="I177" s="287"/>
      <c r="J177" s="288"/>
      <c r="K177" s="282"/>
      <c r="L177" s="283"/>
      <c r="M177" s="283"/>
    </row>
    <row r="178" spans="1:13" x14ac:dyDescent="0.25">
      <c r="A178" s="284" t="s">
        <v>91</v>
      </c>
      <c r="B178" s="86" t="s">
        <v>355</v>
      </c>
      <c r="C178" s="291"/>
      <c r="D178" s="285"/>
      <c r="E178" s="277"/>
      <c r="F178" s="277"/>
      <c r="G178" s="279"/>
      <c r="H178" s="279"/>
      <c r="I178" s="287"/>
      <c r="J178" s="288"/>
      <c r="K178" s="282"/>
      <c r="L178" s="283"/>
      <c r="M178" s="283"/>
    </row>
    <row r="179" spans="1:13" ht="72" x14ac:dyDescent="0.25">
      <c r="A179" s="290">
        <v>1</v>
      </c>
      <c r="B179" s="75" t="s">
        <v>344</v>
      </c>
      <c r="C179" s="291" t="s">
        <v>18</v>
      </c>
      <c r="D179" s="285">
        <v>1</v>
      </c>
      <c r="E179" s="277">
        <v>491973.76</v>
      </c>
      <c r="F179" s="277">
        <v>491973.76</v>
      </c>
      <c r="G179" s="279"/>
      <c r="H179" s="279">
        <f>D179*0.5</f>
        <v>0.5</v>
      </c>
      <c r="I179" s="287"/>
      <c r="J179" s="288"/>
      <c r="K179" s="282"/>
      <c r="L179" s="283">
        <f t="shared" ref="L179:L185" si="60">H179*E179</f>
        <v>245986.88</v>
      </c>
      <c r="M179" s="283">
        <f t="shared" ref="M179:M186" si="61">K179+L179</f>
        <v>245986.88</v>
      </c>
    </row>
    <row r="180" spans="1:13" ht="48" x14ac:dyDescent="0.25">
      <c r="A180" s="290">
        <v>2</v>
      </c>
      <c r="B180" s="75" t="s">
        <v>345</v>
      </c>
      <c r="C180" s="291" t="s">
        <v>18</v>
      </c>
      <c r="D180" s="285">
        <v>1</v>
      </c>
      <c r="E180" s="277">
        <v>45733.62</v>
      </c>
      <c r="F180" s="277">
        <v>45733.62</v>
      </c>
      <c r="G180" s="279"/>
      <c r="H180" s="279">
        <f t="shared" ref="H180:H185" si="62">D180*0.5</f>
        <v>0.5</v>
      </c>
      <c r="I180" s="287"/>
      <c r="J180" s="288"/>
      <c r="K180" s="282"/>
      <c r="L180" s="283">
        <f t="shared" si="60"/>
        <v>22866.81</v>
      </c>
      <c r="M180" s="283">
        <f t="shared" si="61"/>
        <v>22866.81</v>
      </c>
    </row>
    <row r="181" spans="1:13" ht="60" x14ac:dyDescent="0.25">
      <c r="A181" s="290">
        <v>3</v>
      </c>
      <c r="B181" s="75" t="s">
        <v>346</v>
      </c>
      <c r="C181" s="291" t="s">
        <v>18</v>
      </c>
      <c r="D181" s="285">
        <v>1</v>
      </c>
      <c r="E181" s="277">
        <v>41924.949999999997</v>
      </c>
      <c r="F181" s="277">
        <v>41924.949999999997</v>
      </c>
      <c r="G181" s="279"/>
      <c r="H181" s="279">
        <f t="shared" si="62"/>
        <v>0.5</v>
      </c>
      <c r="I181" s="287"/>
      <c r="J181" s="288"/>
      <c r="K181" s="282"/>
      <c r="L181" s="283">
        <f t="shared" si="60"/>
        <v>20962.474999999999</v>
      </c>
      <c r="M181" s="283">
        <f t="shared" si="61"/>
        <v>20962.474999999999</v>
      </c>
    </row>
    <row r="182" spans="1:13" ht="36" x14ac:dyDescent="0.25">
      <c r="A182" s="290">
        <v>4</v>
      </c>
      <c r="B182" s="75" t="s">
        <v>351</v>
      </c>
      <c r="C182" s="291" t="s">
        <v>18</v>
      </c>
      <c r="D182" s="285">
        <v>1</v>
      </c>
      <c r="E182" s="277">
        <v>15710.07</v>
      </c>
      <c r="F182" s="277">
        <v>15710.07</v>
      </c>
      <c r="G182" s="279"/>
      <c r="H182" s="279">
        <f t="shared" si="62"/>
        <v>0.5</v>
      </c>
      <c r="I182" s="287"/>
      <c r="J182" s="288"/>
      <c r="K182" s="282"/>
      <c r="L182" s="283">
        <f t="shared" si="60"/>
        <v>7855.0349999999999</v>
      </c>
      <c r="M182" s="283">
        <f t="shared" si="61"/>
        <v>7855.0349999999999</v>
      </c>
    </row>
    <row r="183" spans="1:13" ht="48" x14ac:dyDescent="0.25">
      <c r="A183" s="290">
        <v>5</v>
      </c>
      <c r="B183" s="75" t="s">
        <v>348</v>
      </c>
      <c r="C183" s="291" t="s">
        <v>18</v>
      </c>
      <c r="D183" s="285">
        <v>1</v>
      </c>
      <c r="E183" s="277">
        <v>7767.63</v>
      </c>
      <c r="F183" s="277">
        <v>7767.63</v>
      </c>
      <c r="G183" s="279"/>
      <c r="H183" s="279">
        <f t="shared" si="62"/>
        <v>0.5</v>
      </c>
      <c r="I183" s="287"/>
      <c r="J183" s="288"/>
      <c r="K183" s="282"/>
      <c r="L183" s="283">
        <f t="shared" si="60"/>
        <v>3883.8150000000001</v>
      </c>
      <c r="M183" s="283">
        <f t="shared" si="61"/>
        <v>3883.8150000000001</v>
      </c>
    </row>
    <row r="184" spans="1:13" ht="24" x14ac:dyDescent="0.25">
      <c r="A184" s="290">
        <v>6</v>
      </c>
      <c r="B184" s="75" t="s">
        <v>349</v>
      </c>
      <c r="C184" s="291" t="s">
        <v>18</v>
      </c>
      <c r="D184" s="285">
        <v>1</v>
      </c>
      <c r="E184" s="277">
        <v>2005.2</v>
      </c>
      <c r="F184" s="277">
        <v>2005.2</v>
      </c>
      <c r="G184" s="279"/>
      <c r="H184" s="279">
        <f t="shared" si="62"/>
        <v>0.5</v>
      </c>
      <c r="I184" s="287"/>
      <c r="J184" s="288"/>
      <c r="K184" s="282"/>
      <c r="L184" s="283">
        <f t="shared" si="60"/>
        <v>1002.6</v>
      </c>
      <c r="M184" s="283">
        <f t="shared" si="61"/>
        <v>1002.6</v>
      </c>
    </row>
    <row r="185" spans="1:13" ht="36" x14ac:dyDescent="0.25">
      <c r="A185" s="290">
        <v>7</v>
      </c>
      <c r="B185" s="75" t="s">
        <v>350</v>
      </c>
      <c r="C185" s="291" t="s">
        <v>33</v>
      </c>
      <c r="D185" s="285">
        <v>16</v>
      </c>
      <c r="E185" s="277">
        <v>3780</v>
      </c>
      <c r="F185" s="277">
        <v>60480</v>
      </c>
      <c r="G185" s="279"/>
      <c r="H185" s="279">
        <f t="shared" si="62"/>
        <v>8</v>
      </c>
      <c r="I185" s="287"/>
      <c r="J185" s="288"/>
      <c r="K185" s="282"/>
      <c r="L185" s="283">
        <f t="shared" si="60"/>
        <v>30240</v>
      </c>
      <c r="M185" s="283">
        <f t="shared" si="61"/>
        <v>30240</v>
      </c>
    </row>
    <row r="186" spans="1:13" x14ac:dyDescent="0.25">
      <c r="A186" s="290"/>
      <c r="B186" s="86" t="s">
        <v>29</v>
      </c>
      <c r="C186" s="291"/>
      <c r="D186" s="285"/>
      <c r="E186" s="277"/>
      <c r="F186" s="278">
        <v>665595.22999999986</v>
      </c>
      <c r="G186" s="279"/>
      <c r="H186" s="279"/>
      <c r="I186" s="287"/>
      <c r="J186" s="288"/>
      <c r="K186" s="282"/>
      <c r="L186" s="295">
        <f>SUM(L179:L185)</f>
        <v>332797.61499999993</v>
      </c>
      <c r="M186" s="295">
        <f t="shared" si="61"/>
        <v>332797.61499999993</v>
      </c>
    </row>
    <row r="187" spans="1:13" x14ac:dyDescent="0.25">
      <c r="A187" s="290"/>
      <c r="B187" s="86"/>
      <c r="C187" s="291"/>
      <c r="D187" s="285"/>
      <c r="E187" s="277"/>
      <c r="F187" s="277"/>
      <c r="G187" s="279"/>
      <c r="H187" s="279"/>
      <c r="I187" s="287"/>
      <c r="J187" s="288"/>
      <c r="K187" s="282"/>
      <c r="L187" s="283"/>
      <c r="M187" s="283"/>
    </row>
    <row r="188" spans="1:13" x14ac:dyDescent="0.25">
      <c r="A188" s="284" t="s">
        <v>91</v>
      </c>
      <c r="B188" s="86" t="s">
        <v>356</v>
      </c>
      <c r="C188" s="291"/>
      <c r="D188" s="285"/>
      <c r="E188" s="277"/>
      <c r="F188" s="277"/>
      <c r="G188" s="279"/>
      <c r="H188" s="279"/>
      <c r="I188" s="287"/>
      <c r="J188" s="288"/>
      <c r="K188" s="282"/>
      <c r="L188" s="283"/>
      <c r="M188" s="283"/>
    </row>
    <row r="189" spans="1:13" ht="60" x14ac:dyDescent="0.25">
      <c r="A189" s="290">
        <v>1</v>
      </c>
      <c r="B189" s="75" t="s">
        <v>357</v>
      </c>
      <c r="C189" s="291" t="s">
        <v>358</v>
      </c>
      <c r="D189" s="285">
        <v>90</v>
      </c>
      <c r="E189" s="277">
        <v>1121</v>
      </c>
      <c r="F189" s="277">
        <f t="shared" ref="F189:F191" si="63">D189*E189</f>
        <v>100890</v>
      </c>
      <c r="G189" s="279">
        <v>90</v>
      </c>
      <c r="H189" s="279"/>
      <c r="I189" s="287">
        <f t="shared" ref="I189" si="64">SUM(G189+H189)</f>
        <v>90</v>
      </c>
      <c r="J189" s="288">
        <f t="shared" ref="J189:J191" si="65">I189/D189</f>
        <v>1</v>
      </c>
      <c r="K189" s="283">
        <f t="shared" ref="K189:K191" si="66">E189*G189</f>
        <v>100890</v>
      </c>
      <c r="L189" s="283">
        <f>H189*E189</f>
        <v>0</v>
      </c>
      <c r="M189" s="283">
        <f>K189+L189</f>
        <v>100890</v>
      </c>
    </row>
    <row r="190" spans="1:13" ht="24" x14ac:dyDescent="0.25">
      <c r="A190" s="290">
        <v>2</v>
      </c>
      <c r="B190" s="75" t="s">
        <v>359</v>
      </c>
      <c r="C190" s="291" t="s">
        <v>112</v>
      </c>
      <c r="D190" s="285">
        <v>5</v>
      </c>
      <c r="E190" s="277">
        <v>14750</v>
      </c>
      <c r="F190" s="277">
        <f t="shared" si="63"/>
        <v>73750</v>
      </c>
      <c r="G190" s="279">
        <v>5</v>
      </c>
      <c r="H190" s="279"/>
      <c r="I190" s="287">
        <f t="shared" ref="I190:I191" si="67">SUM(G190+H190)</f>
        <v>5</v>
      </c>
      <c r="J190" s="288">
        <f t="shared" si="65"/>
        <v>1</v>
      </c>
      <c r="K190" s="283">
        <f t="shared" si="66"/>
        <v>73750</v>
      </c>
      <c r="L190" s="283">
        <f t="shared" ref="L190:L191" si="68">H190*E190</f>
        <v>0</v>
      </c>
      <c r="M190" s="283">
        <f t="shared" ref="M190:M192" si="69">K190+L190</f>
        <v>73750</v>
      </c>
    </row>
    <row r="191" spans="1:13" x14ac:dyDescent="0.25">
      <c r="A191" s="290">
        <v>3</v>
      </c>
      <c r="B191" s="75" t="s">
        <v>360</v>
      </c>
      <c r="C191" s="291" t="s">
        <v>79</v>
      </c>
      <c r="D191" s="285">
        <v>1</v>
      </c>
      <c r="E191" s="277">
        <v>112100</v>
      </c>
      <c r="F191" s="277">
        <f t="shared" si="63"/>
        <v>112100</v>
      </c>
      <c r="G191" s="279">
        <v>1</v>
      </c>
      <c r="H191" s="279"/>
      <c r="I191" s="287">
        <f t="shared" si="67"/>
        <v>1</v>
      </c>
      <c r="J191" s="288">
        <f t="shared" si="65"/>
        <v>1</v>
      </c>
      <c r="K191" s="283">
        <f t="shared" si="66"/>
        <v>112100</v>
      </c>
      <c r="L191" s="283">
        <f t="shared" si="68"/>
        <v>0</v>
      </c>
      <c r="M191" s="283">
        <f t="shared" si="69"/>
        <v>112100</v>
      </c>
    </row>
    <row r="192" spans="1:13" x14ac:dyDescent="0.25">
      <c r="A192" s="290"/>
      <c r="B192" s="86" t="s">
        <v>29</v>
      </c>
      <c r="C192" s="291"/>
      <c r="D192" s="285"/>
      <c r="E192" s="277"/>
      <c r="F192" s="278">
        <f>SUM(F189:F191)</f>
        <v>286740</v>
      </c>
      <c r="G192" s="279"/>
      <c r="H192" s="279"/>
      <c r="I192" s="287"/>
      <c r="J192" s="288"/>
      <c r="K192" s="301">
        <f>SUM(K189:K191)</f>
        <v>286740</v>
      </c>
      <c r="L192" s="295">
        <f>SUM(L189:L191)</f>
        <v>0</v>
      </c>
      <c r="M192" s="295">
        <f t="shared" si="69"/>
        <v>286740</v>
      </c>
    </row>
    <row r="193" spans="1:13" x14ac:dyDescent="0.25">
      <c r="A193" s="284" t="s">
        <v>361</v>
      </c>
      <c r="B193" s="86" t="s">
        <v>362</v>
      </c>
      <c r="C193" s="291"/>
      <c r="D193" s="285"/>
      <c r="E193" s="277"/>
      <c r="F193" s="277"/>
      <c r="G193" s="279"/>
      <c r="H193" s="279"/>
      <c r="I193" s="287"/>
      <c r="J193" s="288"/>
      <c r="K193" s="282"/>
      <c r="L193" s="283"/>
      <c r="M193" s="283"/>
    </row>
    <row r="194" spans="1:13" ht="60" x14ac:dyDescent="0.25">
      <c r="A194" s="290">
        <v>1</v>
      </c>
      <c r="B194" s="75" t="s">
        <v>357</v>
      </c>
      <c r="C194" s="291" t="s">
        <v>358</v>
      </c>
      <c r="D194" s="285">
        <v>90</v>
      </c>
      <c r="E194" s="277">
        <v>1121</v>
      </c>
      <c r="F194" s="277">
        <f t="shared" ref="F194:F196" si="70">D194*E194</f>
        <v>100890</v>
      </c>
      <c r="G194" s="279">
        <v>90</v>
      </c>
      <c r="H194" s="279"/>
      <c r="I194" s="287">
        <f t="shared" ref="I194:I196" si="71">SUM(G194+H194)</f>
        <v>90</v>
      </c>
      <c r="J194" s="288">
        <f t="shared" ref="J194:J196" si="72">I194/D194</f>
        <v>1</v>
      </c>
      <c r="K194" s="283">
        <f t="shared" ref="K194:K196" si="73">E194*G194</f>
        <v>100890</v>
      </c>
      <c r="L194" s="283">
        <f>H194*E194</f>
        <v>0</v>
      </c>
      <c r="M194" s="283">
        <f>K194+L194</f>
        <v>100890</v>
      </c>
    </row>
    <row r="195" spans="1:13" ht="24" x14ac:dyDescent="0.25">
      <c r="A195" s="290">
        <v>2</v>
      </c>
      <c r="B195" s="75" t="s">
        <v>359</v>
      </c>
      <c r="C195" s="291" t="s">
        <v>112</v>
      </c>
      <c r="D195" s="285">
        <v>5</v>
      </c>
      <c r="E195" s="277">
        <v>14750</v>
      </c>
      <c r="F195" s="277">
        <f t="shared" si="70"/>
        <v>73750</v>
      </c>
      <c r="G195" s="279">
        <v>5</v>
      </c>
      <c r="H195" s="279"/>
      <c r="I195" s="287">
        <f t="shared" si="71"/>
        <v>5</v>
      </c>
      <c r="J195" s="288">
        <f t="shared" si="72"/>
        <v>1</v>
      </c>
      <c r="K195" s="283">
        <f t="shared" si="73"/>
        <v>73750</v>
      </c>
      <c r="L195" s="283">
        <f t="shared" ref="L195:L196" si="74">H195*E195</f>
        <v>0</v>
      </c>
      <c r="M195" s="283">
        <f t="shared" ref="M195:M197" si="75">K195+L195</f>
        <v>73750</v>
      </c>
    </row>
    <row r="196" spans="1:13" x14ac:dyDescent="0.25">
      <c r="A196" s="290">
        <v>3</v>
      </c>
      <c r="B196" s="75" t="s">
        <v>360</v>
      </c>
      <c r="C196" s="291" t="s">
        <v>79</v>
      </c>
      <c r="D196" s="285">
        <v>1</v>
      </c>
      <c r="E196" s="277">
        <v>112100</v>
      </c>
      <c r="F196" s="277">
        <f t="shared" si="70"/>
        <v>112100</v>
      </c>
      <c r="G196" s="279">
        <v>1</v>
      </c>
      <c r="H196" s="279"/>
      <c r="I196" s="287">
        <f t="shared" si="71"/>
        <v>1</v>
      </c>
      <c r="J196" s="288">
        <f t="shared" si="72"/>
        <v>1</v>
      </c>
      <c r="K196" s="283">
        <f t="shared" si="73"/>
        <v>112100</v>
      </c>
      <c r="L196" s="283">
        <f t="shared" si="74"/>
        <v>0</v>
      </c>
      <c r="M196" s="283">
        <f t="shared" si="75"/>
        <v>112100</v>
      </c>
    </row>
    <row r="197" spans="1:13" x14ac:dyDescent="0.25">
      <c r="A197" s="290"/>
      <c r="B197" s="86" t="s">
        <v>29</v>
      </c>
      <c r="C197" s="291"/>
      <c r="D197" s="285"/>
      <c r="E197" s="277"/>
      <c r="F197" s="278">
        <f>SUM(F194:F196)</f>
        <v>286740</v>
      </c>
      <c r="G197" s="279"/>
      <c r="H197" s="279"/>
      <c r="I197" s="287"/>
      <c r="J197" s="288"/>
      <c r="K197" s="301">
        <f>SUM(K194:K196)</f>
        <v>286740</v>
      </c>
      <c r="L197" s="295">
        <f>SUM(L194:L196)</f>
        <v>0</v>
      </c>
      <c r="M197" s="295">
        <f t="shared" si="75"/>
        <v>286740</v>
      </c>
    </row>
    <row r="198" spans="1:13" x14ac:dyDescent="0.25">
      <c r="A198" s="284" t="s">
        <v>311</v>
      </c>
      <c r="B198" s="86" t="s">
        <v>363</v>
      </c>
      <c r="C198" s="291"/>
      <c r="D198" s="285"/>
      <c r="E198" s="277"/>
      <c r="F198" s="277"/>
      <c r="G198" s="279"/>
      <c r="H198" s="279"/>
      <c r="I198" s="287"/>
      <c r="J198" s="288"/>
      <c r="K198" s="282"/>
      <c r="L198" s="283"/>
      <c r="M198" s="283"/>
    </row>
    <row r="199" spans="1:13" ht="60" x14ac:dyDescent="0.25">
      <c r="A199" s="290">
        <v>1</v>
      </c>
      <c r="B199" s="75" t="s">
        <v>357</v>
      </c>
      <c r="C199" s="291" t="s">
        <v>358</v>
      </c>
      <c r="D199" s="285">
        <v>90</v>
      </c>
      <c r="E199" s="277">
        <v>1121</v>
      </c>
      <c r="F199" s="277">
        <f t="shared" ref="F199:F201" si="76">D199*E199</f>
        <v>100890</v>
      </c>
      <c r="G199" s="279">
        <v>90</v>
      </c>
      <c r="H199" s="279"/>
      <c r="I199" s="287">
        <f t="shared" ref="I199:I201" si="77">SUM(G199+H199)</f>
        <v>90</v>
      </c>
      <c r="J199" s="288">
        <f t="shared" ref="J199:J201" si="78">I199/D199</f>
        <v>1</v>
      </c>
      <c r="K199" s="283">
        <f t="shared" ref="K199:K201" si="79">E199*G199</f>
        <v>100890</v>
      </c>
      <c r="L199" s="283">
        <f>H199*E199</f>
        <v>0</v>
      </c>
      <c r="M199" s="283">
        <f>K199+L199</f>
        <v>100890</v>
      </c>
    </row>
    <row r="200" spans="1:13" ht="24" x14ac:dyDescent="0.25">
      <c r="A200" s="290">
        <v>2</v>
      </c>
      <c r="B200" s="75" t="s">
        <v>359</v>
      </c>
      <c r="C200" s="291" t="s">
        <v>112</v>
      </c>
      <c r="D200" s="285">
        <v>5</v>
      </c>
      <c r="E200" s="277">
        <v>14750</v>
      </c>
      <c r="F200" s="277">
        <f t="shared" si="76"/>
        <v>73750</v>
      </c>
      <c r="G200" s="279">
        <v>5</v>
      </c>
      <c r="H200" s="279"/>
      <c r="I200" s="287">
        <f t="shared" si="77"/>
        <v>5</v>
      </c>
      <c r="J200" s="288">
        <f t="shared" si="78"/>
        <v>1</v>
      </c>
      <c r="K200" s="283">
        <f t="shared" si="79"/>
        <v>73750</v>
      </c>
      <c r="L200" s="283">
        <f t="shared" ref="L200:L201" si="80">H200*E200</f>
        <v>0</v>
      </c>
      <c r="M200" s="283">
        <f t="shared" ref="M200:M202" si="81">K200+L200</f>
        <v>73750</v>
      </c>
    </row>
    <row r="201" spans="1:13" x14ac:dyDescent="0.25">
      <c r="A201" s="290">
        <v>3</v>
      </c>
      <c r="B201" s="75" t="s">
        <v>360</v>
      </c>
      <c r="C201" s="291" t="s">
        <v>79</v>
      </c>
      <c r="D201" s="285">
        <v>1</v>
      </c>
      <c r="E201" s="277">
        <v>112100</v>
      </c>
      <c r="F201" s="277">
        <f t="shared" si="76"/>
        <v>112100</v>
      </c>
      <c r="G201" s="279">
        <v>1</v>
      </c>
      <c r="H201" s="279"/>
      <c r="I201" s="287">
        <f t="shared" si="77"/>
        <v>1</v>
      </c>
      <c r="J201" s="288">
        <f t="shared" si="78"/>
        <v>1</v>
      </c>
      <c r="K201" s="283">
        <f t="shared" si="79"/>
        <v>112100</v>
      </c>
      <c r="L201" s="283">
        <f t="shared" si="80"/>
        <v>0</v>
      </c>
      <c r="M201" s="283">
        <f t="shared" si="81"/>
        <v>112100</v>
      </c>
    </row>
    <row r="202" spans="1:13" x14ac:dyDescent="0.25">
      <c r="A202" s="290"/>
      <c r="B202" s="86" t="s">
        <v>29</v>
      </c>
      <c r="C202" s="291"/>
      <c r="D202" s="285"/>
      <c r="E202" s="277"/>
      <c r="F202" s="278">
        <f>SUM(F199:F201)</f>
        <v>286740</v>
      </c>
      <c r="G202" s="279"/>
      <c r="H202" s="279"/>
      <c r="I202" s="287"/>
      <c r="J202" s="288"/>
      <c r="K202" s="301">
        <f>SUM(K199:K201)</f>
        <v>286740</v>
      </c>
      <c r="L202" s="295">
        <f>SUM(L199:L201)</f>
        <v>0</v>
      </c>
      <c r="M202" s="295">
        <f t="shared" si="81"/>
        <v>286740</v>
      </c>
    </row>
    <row r="203" spans="1:13" x14ac:dyDescent="0.25">
      <c r="A203" s="290"/>
      <c r="B203" s="75"/>
      <c r="C203" s="291"/>
      <c r="D203" s="285"/>
      <c r="E203" s="277"/>
      <c r="F203" s="277"/>
      <c r="G203" s="279"/>
      <c r="H203" s="279"/>
      <c r="I203" s="287"/>
      <c r="J203" s="288"/>
      <c r="K203" s="282"/>
      <c r="L203" s="283"/>
      <c r="M203" s="283"/>
    </row>
    <row r="204" spans="1:13" x14ac:dyDescent="0.25">
      <c r="A204" s="290">
        <v>1</v>
      </c>
      <c r="B204" s="75" t="s">
        <v>364</v>
      </c>
      <c r="C204" s="291"/>
      <c r="D204" s="285"/>
      <c r="E204" s="277"/>
      <c r="F204" s="277"/>
      <c r="G204" s="279"/>
      <c r="H204" s="279"/>
      <c r="I204" s="287"/>
      <c r="J204" s="288"/>
      <c r="K204" s="282"/>
      <c r="L204" s="283"/>
      <c r="M204" s="283"/>
    </row>
    <row r="205" spans="1:13" ht="24" x14ac:dyDescent="0.25">
      <c r="A205" s="290"/>
      <c r="B205" s="75" t="s">
        <v>365</v>
      </c>
      <c r="C205" s="291" t="s">
        <v>366</v>
      </c>
      <c r="D205" s="285">
        <v>1</v>
      </c>
      <c r="E205" s="277">
        <v>3600000</v>
      </c>
      <c r="F205" s="277">
        <f>D205*E205</f>
        <v>3600000</v>
      </c>
      <c r="G205" s="279">
        <v>0.6</v>
      </c>
      <c r="H205" s="279"/>
      <c r="I205" s="287">
        <f t="shared" ref="I205:I206" si="82">SUM(G205+H205)</f>
        <v>0.6</v>
      </c>
      <c r="J205" s="288">
        <f t="shared" ref="J205:J206" si="83">I205/D205</f>
        <v>0.6</v>
      </c>
      <c r="K205" s="283">
        <f t="shared" ref="K205:K206" si="84">E205*G205</f>
        <v>2160000</v>
      </c>
      <c r="L205" s="283">
        <f t="shared" ref="L205:L206" si="85">H205*E205</f>
        <v>0</v>
      </c>
      <c r="M205" s="283">
        <f t="shared" ref="M205:M206" si="86">K205+L205</f>
        <v>2160000</v>
      </c>
    </row>
    <row r="206" spans="1:13" x14ac:dyDescent="0.25">
      <c r="A206" s="290"/>
      <c r="B206" s="75" t="s">
        <v>367</v>
      </c>
      <c r="C206" s="291" t="s">
        <v>366</v>
      </c>
      <c r="D206" s="285">
        <v>1</v>
      </c>
      <c r="E206" s="277">
        <v>26461.31</v>
      </c>
      <c r="F206" s="277">
        <f>D206*E206</f>
        <v>26461.31</v>
      </c>
      <c r="G206" s="279">
        <v>1</v>
      </c>
      <c r="H206" s="279"/>
      <c r="I206" s="287">
        <f t="shared" si="82"/>
        <v>1</v>
      </c>
      <c r="J206" s="288">
        <f t="shared" si="83"/>
        <v>1</v>
      </c>
      <c r="K206" s="283">
        <f t="shared" si="84"/>
        <v>26461.31</v>
      </c>
      <c r="L206" s="283">
        <f t="shared" si="85"/>
        <v>0</v>
      </c>
      <c r="M206" s="283">
        <f t="shared" si="86"/>
        <v>26461.31</v>
      </c>
    </row>
    <row r="207" spans="1:13" x14ac:dyDescent="0.25">
      <c r="A207" s="304"/>
      <c r="B207" s="86" t="s">
        <v>29</v>
      </c>
      <c r="C207" s="307"/>
      <c r="D207" s="300"/>
      <c r="E207" s="278"/>
      <c r="F207" s="278">
        <f>SUM(F204:F206)</f>
        <v>3626461.31</v>
      </c>
      <c r="G207" s="279"/>
      <c r="H207" s="279"/>
      <c r="I207" s="287"/>
      <c r="J207" s="288"/>
      <c r="K207" s="301">
        <f>SUM(K205:K206)</f>
        <v>2186461.31</v>
      </c>
      <c r="L207" s="295">
        <f>SUM(L205:L206)</f>
        <v>0</v>
      </c>
      <c r="M207" s="295">
        <f>K206+L207</f>
        <v>26461.31</v>
      </c>
    </row>
    <row r="208" spans="1:13" x14ac:dyDescent="0.25">
      <c r="A208" s="331"/>
      <c r="B208" s="332" t="s">
        <v>235</v>
      </c>
      <c r="C208" s="333"/>
      <c r="D208" s="334"/>
      <c r="E208" s="335"/>
      <c r="F208" s="336">
        <f>F207+F202+F197+F192+F186+F176+F166+F156+F145+F136+F127+F116+F108++F49+F12-0.02</f>
        <v>30088598.167614844</v>
      </c>
      <c r="G208" s="337"/>
      <c r="H208" s="338"/>
      <c r="I208" s="339"/>
      <c r="J208" s="340"/>
      <c r="K208" s="341">
        <f>K207+K202+K197+K192+K69+K60+K55+K48+K45+K39+K36+K33+K29+K22+K19-0.03</f>
        <v>18821847.130690269</v>
      </c>
      <c r="L208" s="342">
        <f>L186+L176+L166+L156+L145+L136+L77+L69</f>
        <v>4029253.295237944</v>
      </c>
      <c r="M208" s="336">
        <f>K208+L208</f>
        <v>22851100.425928213</v>
      </c>
    </row>
    <row r="209" spans="1:13" x14ac:dyDescent="0.25">
      <c r="A209" s="343"/>
      <c r="B209" s="344"/>
      <c r="C209" s="345"/>
      <c r="D209" s="346"/>
      <c r="E209" s="347"/>
      <c r="F209" s="347"/>
      <c r="G209" s="348"/>
      <c r="H209" s="348"/>
      <c r="I209" s="345"/>
      <c r="J209" s="349"/>
      <c r="K209" s="350"/>
      <c r="L209" s="350"/>
      <c r="M209" s="350"/>
    </row>
    <row r="210" spans="1:13" x14ac:dyDescent="0.25">
      <c r="A210" s="351"/>
      <c r="B210" s="352"/>
      <c r="C210" s="353"/>
      <c r="D210" s="353"/>
      <c r="E210" s="353"/>
      <c r="F210" s="354"/>
      <c r="H210" s="345"/>
      <c r="I210" s="345"/>
      <c r="J210" s="345"/>
      <c r="K210" s="355"/>
      <c r="L210" s="355"/>
      <c r="M210" s="336"/>
    </row>
    <row r="211" spans="1:13" x14ac:dyDescent="0.25">
      <c r="A211" s="351"/>
      <c r="B211" s="352"/>
      <c r="C211" s="353"/>
      <c r="D211" s="353"/>
      <c r="E211" s="353"/>
      <c r="F211" s="356"/>
      <c r="H211" s="345"/>
      <c r="I211" s="345"/>
      <c r="J211" s="345"/>
      <c r="K211" s="355"/>
      <c r="L211" s="355"/>
      <c r="M211" s="336"/>
    </row>
    <row r="212" spans="1:13" x14ac:dyDescent="0.25">
      <c r="A212" s="351"/>
      <c r="B212" s="217"/>
      <c r="C212" s="3"/>
      <c r="D212" s="3"/>
      <c r="F212" s="357"/>
      <c r="H212" s="345"/>
      <c r="I212" s="345"/>
      <c r="J212" s="345"/>
      <c r="K212" s="355"/>
      <c r="L212" s="355"/>
      <c r="M212" s="355"/>
    </row>
    <row r="213" spans="1:13" x14ac:dyDescent="0.25">
      <c r="A213" s="351"/>
      <c r="B213" s="10"/>
      <c r="C213" s="3"/>
      <c r="D213" s="3"/>
      <c r="E213" s="110"/>
      <c r="F213" s="358"/>
      <c r="H213" s="345"/>
      <c r="I213" s="345"/>
      <c r="J213" s="345"/>
      <c r="K213" s="355"/>
      <c r="L213" s="355"/>
      <c r="M213" s="355"/>
    </row>
    <row r="214" spans="1:13" x14ac:dyDescent="0.25">
      <c r="A214" s="351"/>
      <c r="B214" s="352"/>
      <c r="C214" s="353"/>
      <c r="D214" s="353"/>
      <c r="E214" s="353"/>
      <c r="F214" s="358"/>
      <c r="H214" s="345"/>
      <c r="I214" s="345"/>
      <c r="J214" s="345"/>
      <c r="K214" s="355"/>
      <c r="L214" s="359"/>
      <c r="M214" s="336"/>
    </row>
    <row r="215" spans="1:13" x14ac:dyDescent="0.25">
      <c r="A215" s="351"/>
      <c r="B215" s="111"/>
      <c r="C215" s="360"/>
      <c r="H215" s="345"/>
      <c r="I215" s="345"/>
      <c r="J215" s="345"/>
      <c r="K215" s="350"/>
      <c r="L215" s="350"/>
      <c r="M215" s="350"/>
    </row>
    <row r="216" spans="1:13" ht="24" customHeight="1" x14ac:dyDescent="0.25">
      <c r="A216" s="351"/>
      <c r="B216" s="484"/>
      <c r="C216" s="484"/>
      <c r="D216" s="484"/>
      <c r="E216" s="484"/>
      <c r="F216" s="484"/>
      <c r="G216" s="345"/>
      <c r="H216" s="345"/>
      <c r="I216" s="345"/>
      <c r="J216" s="345"/>
      <c r="K216" s="350"/>
      <c r="L216" s="350"/>
      <c r="M216" s="350"/>
    </row>
    <row r="217" spans="1:13" x14ac:dyDescent="0.25">
      <c r="A217" s="351"/>
      <c r="B217" s="344"/>
      <c r="C217" s="345"/>
      <c r="D217" s="346"/>
      <c r="E217" s="347"/>
      <c r="F217" s="347"/>
      <c r="G217" s="345"/>
      <c r="H217" s="345"/>
      <c r="I217" s="345"/>
      <c r="J217" s="345"/>
      <c r="K217" s="350"/>
      <c r="L217" s="350"/>
      <c r="M217" s="350"/>
    </row>
    <row r="218" spans="1:13" x14ac:dyDescent="0.25">
      <c r="A218" s="343"/>
      <c r="B218" s="344"/>
      <c r="C218" s="345"/>
      <c r="D218" s="346"/>
      <c r="E218" s="347"/>
      <c r="F218" s="347"/>
      <c r="G218" s="345"/>
      <c r="H218" s="345"/>
      <c r="I218" s="345"/>
      <c r="J218" s="345"/>
      <c r="K218" s="350"/>
      <c r="L218" s="350"/>
      <c r="M218" s="350"/>
    </row>
    <row r="219" spans="1:13" x14ac:dyDescent="0.25">
      <c r="A219" s="110"/>
      <c r="B219" s="344"/>
      <c r="C219" s="345"/>
      <c r="D219" s="346"/>
      <c r="E219" s="347"/>
      <c r="F219" s="347"/>
      <c r="G219" s="345"/>
      <c r="H219" s="345"/>
      <c r="I219" s="345"/>
      <c r="J219" s="345"/>
      <c r="K219" s="350"/>
      <c r="L219" s="350"/>
      <c r="M219" s="350"/>
    </row>
    <row r="220" spans="1:13" x14ac:dyDescent="0.25">
      <c r="A220" s="110"/>
      <c r="B220" s="344"/>
      <c r="C220" s="345"/>
      <c r="D220" s="346"/>
      <c r="E220" s="347"/>
      <c r="F220" s="347"/>
      <c r="G220" s="345"/>
      <c r="H220" s="345"/>
      <c r="I220" s="345"/>
      <c r="J220" s="345"/>
      <c r="K220" s="350"/>
      <c r="L220" s="350"/>
      <c r="M220" s="350"/>
    </row>
    <row r="221" spans="1:13" x14ac:dyDescent="0.25">
      <c r="A221" s="110"/>
      <c r="B221" s="344"/>
      <c r="C221" s="345"/>
      <c r="D221" s="346"/>
      <c r="E221" s="347"/>
      <c r="F221" s="347"/>
      <c r="G221" s="345"/>
      <c r="H221" s="345"/>
      <c r="I221" s="345"/>
      <c r="J221" s="345"/>
      <c r="K221" s="350"/>
      <c r="L221" s="350"/>
      <c r="M221" s="350"/>
    </row>
    <row r="222" spans="1:13" x14ac:dyDescent="0.25">
      <c r="A222" s="110"/>
      <c r="B222" s="344"/>
      <c r="C222" s="345"/>
      <c r="D222" s="346"/>
      <c r="E222" s="347"/>
      <c r="F222" s="347"/>
      <c r="G222" s="345"/>
      <c r="H222" s="345"/>
      <c r="I222" s="345"/>
      <c r="J222" s="345"/>
      <c r="K222" s="350"/>
      <c r="L222" s="350"/>
      <c r="M222" s="350"/>
    </row>
    <row r="223" spans="1:13" x14ac:dyDescent="0.25">
      <c r="A223" s="110"/>
      <c r="B223" s="344"/>
      <c r="C223" s="345"/>
      <c r="D223" s="346"/>
      <c r="E223" s="347"/>
      <c r="F223" s="347"/>
      <c r="G223" s="345"/>
      <c r="H223" s="345"/>
      <c r="I223" s="345"/>
      <c r="J223" s="345"/>
      <c r="K223" s="350"/>
      <c r="L223" s="350"/>
      <c r="M223" s="350"/>
    </row>
    <row r="224" spans="1:13" x14ac:dyDescent="0.25">
      <c r="A224" s="110"/>
      <c r="B224" s="344"/>
      <c r="C224" s="345"/>
      <c r="D224" s="346"/>
      <c r="E224" s="347"/>
      <c r="F224" s="347"/>
      <c r="G224" s="345"/>
      <c r="H224" s="345"/>
      <c r="I224" s="345"/>
      <c r="J224" s="345"/>
      <c r="K224" s="350"/>
      <c r="L224" s="350"/>
      <c r="M224" s="350"/>
    </row>
    <row r="225" spans="1:13" x14ac:dyDescent="0.25">
      <c r="A225" s="110"/>
      <c r="B225" s="344"/>
      <c r="C225" s="345"/>
      <c r="D225" s="346"/>
      <c r="E225" s="347"/>
      <c r="F225" s="347"/>
      <c r="G225" s="345"/>
      <c r="H225" s="345"/>
      <c r="I225" s="345"/>
      <c r="J225" s="345"/>
      <c r="K225" s="350"/>
      <c r="L225" s="350"/>
      <c r="M225" s="350"/>
    </row>
    <row r="226" spans="1:13" x14ac:dyDescent="0.25">
      <c r="A226" s="110"/>
      <c r="B226" s="344"/>
      <c r="C226" s="345"/>
      <c r="D226" s="346"/>
      <c r="E226" s="347"/>
      <c r="F226" s="347"/>
      <c r="G226" s="345"/>
      <c r="H226" s="345"/>
      <c r="I226" s="345"/>
      <c r="J226" s="345"/>
      <c r="K226" s="350"/>
      <c r="L226" s="350"/>
      <c r="M226" s="350"/>
    </row>
    <row r="227" spans="1:13" x14ac:dyDescent="0.25">
      <c r="A227" s="110"/>
      <c r="B227" s="344"/>
      <c r="C227" s="345"/>
      <c r="D227" s="346"/>
      <c r="E227" s="347"/>
      <c r="F227" s="347"/>
      <c r="G227" s="345"/>
      <c r="H227" s="345"/>
      <c r="I227" s="345"/>
      <c r="J227" s="345"/>
      <c r="K227" s="350"/>
      <c r="L227" s="350"/>
      <c r="M227" s="350"/>
    </row>
    <row r="228" spans="1:13" x14ac:dyDescent="0.25">
      <c r="A228" s="110"/>
      <c r="B228" s="344"/>
      <c r="C228" s="345"/>
      <c r="D228" s="346"/>
      <c r="E228" s="347"/>
      <c r="F228" s="347"/>
      <c r="G228" s="345"/>
      <c r="H228" s="345"/>
      <c r="I228" s="345"/>
      <c r="J228" s="345"/>
      <c r="K228" s="350"/>
      <c r="L228" s="350"/>
      <c r="M228" s="350"/>
    </row>
    <row r="229" spans="1:13" x14ac:dyDescent="0.25">
      <c r="A229" s="110"/>
      <c r="C229" s="345"/>
      <c r="D229" s="346"/>
      <c r="E229" s="347"/>
      <c r="F229" s="347"/>
      <c r="G229" s="345"/>
      <c r="H229" s="345"/>
      <c r="I229" s="345"/>
      <c r="J229" s="345"/>
      <c r="K229" s="350"/>
      <c r="L229" s="350"/>
      <c r="M229" s="350"/>
    </row>
    <row r="230" spans="1:13" x14ac:dyDescent="0.25">
      <c r="A230" s="110"/>
      <c r="C230" s="345"/>
      <c r="D230" s="346"/>
      <c r="E230" s="347"/>
      <c r="F230" s="347"/>
      <c r="G230" s="345"/>
      <c r="H230" s="345"/>
      <c r="I230" s="345"/>
      <c r="J230" s="345"/>
      <c r="K230" s="350"/>
      <c r="L230" s="350"/>
      <c r="M230" s="350"/>
    </row>
    <row r="231" spans="1:13" x14ac:dyDescent="0.25">
      <c r="A231" s="110"/>
      <c r="B231" s="344"/>
      <c r="C231" s="110"/>
      <c r="D231" s="361"/>
      <c r="E231" s="478" t="s">
        <v>0</v>
      </c>
      <c r="F231" s="478"/>
      <c r="G231" s="478"/>
      <c r="H231" s="478"/>
      <c r="I231" s="478"/>
      <c r="J231" s="478"/>
      <c r="K231" s="478"/>
      <c r="L231" s="110"/>
      <c r="M231" s="110"/>
    </row>
    <row r="232" spans="1:13" x14ac:dyDescent="0.25">
      <c r="A232" s="110"/>
      <c r="B232" s="110"/>
      <c r="C232" s="362"/>
      <c r="D232" s="363"/>
      <c r="E232" s="364"/>
      <c r="F232" s="479" t="s">
        <v>1</v>
      </c>
      <c r="G232" s="479"/>
      <c r="H232" s="479"/>
      <c r="I232" s="362"/>
      <c r="J232" s="362"/>
      <c r="K232" s="362"/>
      <c r="L232" s="362"/>
      <c r="M232" s="362"/>
    </row>
    <row r="233" spans="1:13" x14ac:dyDescent="0.25">
      <c r="A233" s="110"/>
      <c r="B233" s="362"/>
      <c r="C233" s="362"/>
      <c r="D233" s="363"/>
      <c r="E233" s="364"/>
      <c r="F233" s="365"/>
      <c r="G233" s="362"/>
      <c r="H233" s="362"/>
      <c r="I233" s="362"/>
      <c r="J233" s="362"/>
      <c r="K233" s="362"/>
      <c r="L233" s="362"/>
      <c r="M233" s="366" t="s">
        <v>368</v>
      </c>
    </row>
    <row r="234" spans="1:13" x14ac:dyDescent="0.25">
      <c r="A234" s="110"/>
      <c r="B234" s="345"/>
      <c r="C234" s="367" t="s">
        <v>2</v>
      </c>
      <c r="D234" s="480" t="s">
        <v>252</v>
      </c>
      <c r="E234" s="480"/>
      <c r="F234" s="480"/>
      <c r="G234" s="344"/>
      <c r="H234" s="368"/>
      <c r="I234" s="345"/>
      <c r="J234" s="345"/>
      <c r="K234" s="10" t="s">
        <v>369</v>
      </c>
      <c r="L234" s="10"/>
      <c r="M234" s="7">
        <v>37129330.140000001</v>
      </c>
    </row>
    <row r="235" spans="1:13" ht="24" customHeight="1" x14ac:dyDescent="0.25">
      <c r="A235" s="110"/>
      <c r="B235" s="345"/>
      <c r="C235" s="4" t="s">
        <v>5</v>
      </c>
      <c r="D235" s="5">
        <v>5</v>
      </c>
      <c r="E235" s="217"/>
      <c r="F235" s="350"/>
      <c r="G235" s="344"/>
      <c r="H235" s="344"/>
      <c r="I235" s="345"/>
      <c r="J235" s="345"/>
      <c r="K235" s="345"/>
      <c r="L235" s="369" t="s">
        <v>6</v>
      </c>
      <c r="M235" s="7" t="s">
        <v>253</v>
      </c>
    </row>
    <row r="236" spans="1:13" ht="26.25" customHeight="1" x14ac:dyDescent="0.25">
      <c r="A236" s="110"/>
      <c r="B236" s="481" t="s">
        <v>7</v>
      </c>
      <c r="C236" s="481"/>
      <c r="D236" s="263" t="s">
        <v>254</v>
      </c>
      <c r="E236" s="258"/>
      <c r="F236" s="350"/>
      <c r="G236" s="344"/>
      <c r="H236" s="370"/>
      <c r="I236" s="345"/>
      <c r="J236" s="345"/>
      <c r="K236" s="345"/>
      <c r="L236" s="369" t="s">
        <v>9</v>
      </c>
      <c r="M236" s="371" t="s">
        <v>255</v>
      </c>
    </row>
    <row r="237" spans="1:13" x14ac:dyDescent="0.25">
      <c r="A237" s="110"/>
      <c r="B237" s="345"/>
      <c r="C237" s="369" t="s">
        <v>11</v>
      </c>
      <c r="D237" s="435" t="s">
        <v>256</v>
      </c>
      <c r="E237" s="435"/>
      <c r="F237" s="350"/>
      <c r="G237" s="344"/>
      <c r="H237" s="344"/>
      <c r="I237" s="345"/>
      <c r="J237" s="345"/>
      <c r="K237" s="345"/>
      <c r="L237" s="345"/>
      <c r="M237" s="345"/>
    </row>
    <row r="238" spans="1:13" x14ac:dyDescent="0.25">
      <c r="A238" s="110"/>
      <c r="B238" s="345"/>
      <c r="C238" s="369"/>
      <c r="D238" s="372"/>
      <c r="E238" s="350"/>
      <c r="F238" s="373" t="s">
        <v>19</v>
      </c>
      <c r="G238" s="344"/>
      <c r="H238" s="465" t="s">
        <v>22</v>
      </c>
      <c r="I238" s="465"/>
      <c r="J238" s="465" t="s">
        <v>23</v>
      </c>
      <c r="K238" s="465"/>
      <c r="L238" s="465" t="s">
        <v>24</v>
      </c>
      <c r="M238" s="465"/>
    </row>
    <row r="239" spans="1:13" x14ac:dyDescent="0.25">
      <c r="A239" s="110"/>
      <c r="B239" s="465" t="s">
        <v>370</v>
      </c>
      <c r="C239" s="465"/>
      <c r="D239" s="465"/>
      <c r="E239" s="465"/>
      <c r="F239" s="375">
        <f>F208</f>
        <v>30088598.167614844</v>
      </c>
      <c r="G239" s="355"/>
      <c r="H239" s="464">
        <f>K208</f>
        <v>18821847.130690269</v>
      </c>
      <c r="I239" s="464"/>
      <c r="J239" s="477">
        <f>L208</f>
        <v>4029253.295237944</v>
      </c>
      <c r="K239" s="477"/>
      <c r="L239" s="476">
        <f>H239+J239</f>
        <v>22851100.425928213</v>
      </c>
      <c r="M239" s="476"/>
    </row>
    <row r="240" spans="1:13" x14ac:dyDescent="0.25">
      <c r="A240" s="110"/>
      <c r="B240" s="345"/>
      <c r="C240" s="5" t="s">
        <v>241</v>
      </c>
      <c r="D240" s="372"/>
      <c r="E240" s="350"/>
      <c r="F240" s="350"/>
      <c r="G240" s="344"/>
      <c r="H240" s="344"/>
      <c r="I240" s="345"/>
      <c r="J240" s="345"/>
      <c r="K240" s="110"/>
      <c r="L240" s="345"/>
      <c r="M240" s="110"/>
    </row>
    <row r="241" spans="1:14" x14ac:dyDescent="0.25">
      <c r="A241" s="110"/>
      <c r="B241" s="345"/>
      <c r="C241" s="8" t="s">
        <v>171</v>
      </c>
      <c r="D241" s="372"/>
      <c r="E241" s="350"/>
      <c r="F241" s="350"/>
      <c r="G241" s="344"/>
      <c r="H241" s="344"/>
      <c r="I241" s="345"/>
      <c r="J241" s="345"/>
      <c r="K241" s="110"/>
      <c r="L241" s="377"/>
      <c r="M241" s="377"/>
    </row>
    <row r="242" spans="1:14" x14ac:dyDescent="0.25">
      <c r="A242" s="110"/>
      <c r="B242" s="378"/>
      <c r="C242" s="8" t="s">
        <v>172</v>
      </c>
      <c r="D242" s="379"/>
      <c r="E242" s="380">
        <v>3.5000000000000003E-2</v>
      </c>
      <c r="F242" s="381">
        <f>E242*F239</f>
        <v>1053100.9358665196</v>
      </c>
      <c r="G242" s="382"/>
      <c r="H242" s="469">
        <f>H239*E242</f>
        <v>658764.64957415953</v>
      </c>
      <c r="I242" s="469"/>
      <c r="J242" s="477">
        <f>J239*E242</f>
        <v>141023.86533332805</v>
      </c>
      <c r="K242" s="477"/>
      <c r="L242" s="476">
        <f t="shared" ref="L242:L247" si="87">H242+J242</f>
        <v>799788.51490748755</v>
      </c>
      <c r="M242" s="476"/>
      <c r="N242" s="224"/>
    </row>
    <row r="243" spans="1:14" x14ac:dyDescent="0.25">
      <c r="A243" s="110"/>
      <c r="B243" s="378"/>
      <c r="C243" s="8" t="s">
        <v>173</v>
      </c>
      <c r="D243" s="379"/>
      <c r="E243" s="380">
        <v>0.1</v>
      </c>
      <c r="F243" s="381">
        <f>E243*F239</f>
        <v>3008859.8167614844</v>
      </c>
      <c r="G243" s="382"/>
      <c r="H243" s="469">
        <f>H239*E243</f>
        <v>1882184.7130690271</v>
      </c>
      <c r="I243" s="469"/>
      <c r="J243" s="477">
        <f>J239*E243</f>
        <v>402925.32952379441</v>
      </c>
      <c r="K243" s="477"/>
      <c r="L243" s="476">
        <f t="shared" si="87"/>
        <v>2285110.0425928216</v>
      </c>
      <c r="M243" s="476"/>
      <c r="N243" s="224"/>
    </row>
    <row r="244" spans="1:14" x14ac:dyDescent="0.25">
      <c r="A244" s="110"/>
      <c r="B244" s="378"/>
      <c r="C244" s="8" t="s">
        <v>174</v>
      </c>
      <c r="D244" s="379"/>
      <c r="E244" s="380">
        <v>0.18</v>
      </c>
      <c r="F244" s="381">
        <f>E244*F243</f>
        <v>541594.76701706718</v>
      </c>
      <c r="G244" s="382"/>
      <c r="H244" s="469">
        <f>H243*E244</f>
        <v>338793.24835242488</v>
      </c>
      <c r="I244" s="469"/>
      <c r="J244" s="477">
        <f>J243*E244</f>
        <v>72526.559314282989</v>
      </c>
      <c r="K244" s="477"/>
      <c r="L244" s="476">
        <f t="shared" si="87"/>
        <v>411319.8076667079</v>
      </c>
      <c r="M244" s="476"/>
      <c r="N244" s="224"/>
    </row>
    <row r="245" spans="1:14" x14ac:dyDescent="0.25">
      <c r="A245" s="110"/>
      <c r="B245" s="378"/>
      <c r="C245" s="8" t="s">
        <v>242</v>
      </c>
      <c r="D245" s="379"/>
      <c r="E245" s="380">
        <v>0.03</v>
      </c>
      <c r="F245" s="381">
        <f>E245*F239</f>
        <v>902657.94502844533</v>
      </c>
      <c r="G245" s="382"/>
      <c r="H245" s="469">
        <f>H239*E245</f>
        <v>564655.413920708</v>
      </c>
      <c r="I245" s="469"/>
      <c r="J245" s="477">
        <f>J239*E245</f>
        <v>120877.59885713832</v>
      </c>
      <c r="K245" s="477"/>
      <c r="L245" s="476">
        <f t="shared" si="87"/>
        <v>685533.01277784631</v>
      </c>
      <c r="M245" s="476"/>
      <c r="N245" s="224"/>
    </row>
    <row r="246" spans="1:14" x14ac:dyDescent="0.25">
      <c r="A246" s="110"/>
      <c r="B246" s="378"/>
      <c r="C246" s="8" t="s">
        <v>243</v>
      </c>
      <c r="D246" s="379"/>
      <c r="E246" s="383">
        <v>0.02</v>
      </c>
      <c r="F246" s="381">
        <f>E246*F239</f>
        <v>601771.96335229685</v>
      </c>
      <c r="G246" s="382"/>
      <c r="H246" s="469">
        <f>H239*E246</f>
        <v>376436.94261380541</v>
      </c>
      <c r="I246" s="469"/>
      <c r="J246" s="474">
        <f>J239*E246</f>
        <v>80585.065904758885</v>
      </c>
      <c r="K246" s="474"/>
      <c r="L246" s="476">
        <f t="shared" si="87"/>
        <v>457022.00851856428</v>
      </c>
      <c r="M246" s="476"/>
      <c r="N246" s="224"/>
    </row>
    <row r="247" spans="1:14" x14ac:dyDescent="0.25">
      <c r="A247" s="110"/>
      <c r="B247" s="378"/>
      <c r="C247" s="5" t="s">
        <v>244</v>
      </c>
      <c r="D247" s="379"/>
      <c r="E247" s="380">
        <v>0.01</v>
      </c>
      <c r="F247" s="381">
        <f>E247*F239</f>
        <v>300885.98167614843</v>
      </c>
      <c r="G247" s="382"/>
      <c r="H247" s="469">
        <f>H239*E247</f>
        <v>188218.47130690271</v>
      </c>
      <c r="I247" s="469"/>
      <c r="J247" s="474">
        <f>J239*E247</f>
        <v>40292.532952379443</v>
      </c>
      <c r="K247" s="474"/>
      <c r="L247" s="476">
        <f t="shared" si="87"/>
        <v>228511.00425928214</v>
      </c>
      <c r="M247" s="476"/>
      <c r="N247" s="224"/>
    </row>
    <row r="248" spans="1:14" x14ac:dyDescent="0.25">
      <c r="A248" s="110"/>
      <c r="B248" s="378"/>
      <c r="C248" s="8" t="s">
        <v>371</v>
      </c>
      <c r="D248" s="379"/>
      <c r="E248" s="380">
        <v>0.02</v>
      </c>
      <c r="F248" s="381">
        <f>F239*E248</f>
        <v>601771.96335229685</v>
      </c>
      <c r="G248" s="382"/>
      <c r="H248" s="381"/>
      <c r="I248" s="381"/>
      <c r="J248" s="384"/>
      <c r="K248" s="384"/>
      <c r="L248" s="376"/>
      <c r="M248" s="376"/>
      <c r="N248" s="224"/>
    </row>
    <row r="249" spans="1:14" x14ac:dyDescent="0.25">
      <c r="A249" s="110"/>
      <c r="B249" s="378"/>
      <c r="C249" s="5" t="s">
        <v>177</v>
      </c>
      <c r="D249" s="379"/>
      <c r="E249" s="385">
        <v>1E-3</v>
      </c>
      <c r="F249" s="386">
        <f>E249*F239</f>
        <v>30088.598167614844</v>
      </c>
      <c r="G249" s="387"/>
      <c r="H249" s="469">
        <f>H239*E249</f>
        <v>18821.847130690268</v>
      </c>
      <c r="I249" s="469"/>
      <c r="J249" s="474">
        <f>J239*E249</f>
        <v>4029.2532952379443</v>
      </c>
      <c r="K249" s="474"/>
      <c r="L249" s="476">
        <f>H249+J250</f>
        <v>881082.0523116102</v>
      </c>
      <c r="M249" s="476"/>
      <c r="N249" s="224"/>
    </row>
    <row r="250" spans="1:14" x14ac:dyDescent="0.25">
      <c r="A250" s="110"/>
      <c r="B250" s="378"/>
      <c r="C250" s="388" t="s">
        <v>372</v>
      </c>
      <c r="D250" s="389"/>
      <c r="E250" s="240">
        <f>E249+E247+E246+E245+E243+E242+1.8%</f>
        <v>0.21400000000000002</v>
      </c>
      <c r="F250" s="390">
        <f>F242+F243+F244+F245+F246+F247+F249+F248</f>
        <v>7040731.9712218735</v>
      </c>
      <c r="G250" s="391"/>
      <c r="H250" s="470">
        <f>SUM(H242:I249)</f>
        <v>4027875.2859677179</v>
      </c>
      <c r="I250" s="470"/>
      <c r="J250" s="471">
        <f>SUM(J242:K249)</f>
        <v>862260.20518091996</v>
      </c>
      <c r="K250" s="471"/>
      <c r="L250" s="472">
        <f>H250+J250</f>
        <v>4890135.4911486376</v>
      </c>
      <c r="M250" s="472"/>
    </row>
    <row r="251" spans="1:14" x14ac:dyDescent="0.25">
      <c r="A251" s="110"/>
      <c r="B251" s="378"/>
      <c r="C251" s="5"/>
      <c r="D251" s="379"/>
      <c r="E251" s="373"/>
      <c r="F251" s="392"/>
      <c r="G251" s="393"/>
      <c r="H251" s="394"/>
      <c r="I251" s="395"/>
      <c r="J251" s="396"/>
      <c r="K251" s="110"/>
      <c r="L251" s="397"/>
      <c r="M251" s="110"/>
    </row>
    <row r="252" spans="1:14" x14ac:dyDescent="0.25">
      <c r="A252" s="110"/>
      <c r="B252" s="378"/>
      <c r="C252" s="5"/>
      <c r="D252" s="379"/>
      <c r="E252" s="373"/>
      <c r="F252" s="392"/>
      <c r="G252" s="393"/>
      <c r="H252" s="394"/>
      <c r="I252" s="395"/>
      <c r="J252" s="396"/>
      <c r="K252" s="110"/>
      <c r="L252" s="397"/>
      <c r="M252" s="110"/>
    </row>
    <row r="253" spans="1:14" x14ac:dyDescent="0.25">
      <c r="A253" s="110"/>
      <c r="B253" s="378"/>
      <c r="C253" s="5"/>
      <c r="D253" s="379"/>
      <c r="E253" s="373"/>
      <c r="F253" s="392"/>
      <c r="G253" s="393"/>
      <c r="H253" s="394"/>
      <c r="I253" s="395"/>
      <c r="J253" s="396"/>
      <c r="K253" s="110"/>
      <c r="L253" s="397"/>
      <c r="M253" s="110"/>
    </row>
    <row r="254" spans="1:14" x14ac:dyDescent="0.25">
      <c r="A254" s="110"/>
      <c r="B254" s="378"/>
      <c r="C254" s="5"/>
      <c r="D254" s="379"/>
      <c r="E254" s="373"/>
      <c r="F254" s="392"/>
      <c r="G254" s="393"/>
      <c r="H254" s="394"/>
      <c r="I254" s="395"/>
      <c r="J254" s="396"/>
      <c r="K254" s="110"/>
      <c r="L254" s="397"/>
      <c r="M254" s="110"/>
    </row>
    <row r="255" spans="1:14" x14ac:dyDescent="0.25">
      <c r="A255" s="110"/>
      <c r="B255" s="378"/>
      <c r="C255" s="8" t="s">
        <v>373</v>
      </c>
      <c r="D255" s="389"/>
      <c r="E255" s="398"/>
      <c r="F255" s="381">
        <f>F239+F250</f>
        <v>37129330.138836719</v>
      </c>
      <c r="G255" s="382"/>
      <c r="H255" s="473">
        <f>H239+H250+0.011</f>
        <v>22849722.427657988</v>
      </c>
      <c r="I255" s="473"/>
      <c r="J255" s="474">
        <f>J239+J250</f>
        <v>4891513.5004188642</v>
      </c>
      <c r="K255" s="474"/>
      <c r="L255" s="475">
        <f>H255+J255</f>
        <v>27741235.928076852</v>
      </c>
      <c r="M255" s="475"/>
    </row>
    <row r="256" spans="1:14" x14ac:dyDescent="0.25">
      <c r="A256" s="110"/>
      <c r="B256" s="378"/>
      <c r="C256" s="110"/>
      <c r="D256" s="389"/>
      <c r="E256" s="398"/>
      <c r="F256" s="399"/>
      <c r="G256" s="391"/>
      <c r="H256" s="400"/>
      <c r="I256" s="401"/>
      <c r="J256" s="402"/>
      <c r="K256" s="110"/>
      <c r="L256" s="403"/>
      <c r="M256" s="401"/>
    </row>
    <row r="257" spans="1:13" x14ac:dyDescent="0.25">
      <c r="A257" s="110"/>
      <c r="B257" s="345"/>
      <c r="C257" s="404" t="s">
        <v>181</v>
      </c>
      <c r="D257" s="346"/>
      <c r="E257" s="347"/>
      <c r="F257" s="347"/>
      <c r="G257" s="345"/>
      <c r="H257" s="405"/>
      <c r="I257" s="405"/>
      <c r="J257" s="405"/>
      <c r="K257" s="401"/>
      <c r="L257" s="405"/>
      <c r="M257" s="405"/>
    </row>
    <row r="258" spans="1:13" x14ac:dyDescent="0.25">
      <c r="A258" s="110"/>
      <c r="B258" s="345"/>
      <c r="C258" s="344" t="s">
        <v>170</v>
      </c>
      <c r="D258" s="346"/>
      <c r="E258" s="373"/>
      <c r="F258" s="347"/>
      <c r="G258" s="345"/>
      <c r="H258" s="464"/>
      <c r="I258" s="464"/>
      <c r="J258" s="469"/>
      <c r="K258" s="469"/>
      <c r="L258" s="464"/>
      <c r="M258" s="464"/>
    </row>
    <row r="259" spans="1:13" x14ac:dyDescent="0.25">
      <c r="A259" s="110"/>
      <c r="B259" s="345"/>
      <c r="C259" s="5"/>
      <c r="D259" s="346"/>
      <c r="E259" s="373"/>
      <c r="F259" s="347"/>
      <c r="G259" s="345"/>
      <c r="H259" s="464"/>
      <c r="I259" s="464"/>
      <c r="J259" s="464"/>
      <c r="K259" s="464"/>
      <c r="L259" s="464"/>
      <c r="M259" s="464"/>
    </row>
    <row r="260" spans="1:13" x14ac:dyDescent="0.25">
      <c r="A260" s="110"/>
      <c r="B260" s="345"/>
      <c r="C260" s="8" t="s">
        <v>182</v>
      </c>
      <c r="D260" s="406"/>
      <c r="E260" s="407">
        <v>0.2</v>
      </c>
      <c r="F260" s="408"/>
      <c r="G260" s="366"/>
      <c r="H260" s="464">
        <f>E260*H255</f>
        <v>4569944.4855315974</v>
      </c>
      <c r="I260" s="464"/>
      <c r="J260" s="464">
        <f>J255*E260</f>
        <v>978302.70008377288</v>
      </c>
      <c r="K260" s="464"/>
      <c r="L260" s="464">
        <f>H260+J260</f>
        <v>5548247.1856153701</v>
      </c>
      <c r="M260" s="464"/>
    </row>
    <row r="261" spans="1:13" x14ac:dyDescent="0.25">
      <c r="A261" s="110"/>
      <c r="B261" s="345"/>
      <c r="C261" s="8"/>
      <c r="D261" s="406"/>
      <c r="E261" s="408"/>
      <c r="F261" s="408"/>
      <c r="G261" s="366"/>
      <c r="H261" s="467"/>
      <c r="I261" s="467"/>
      <c r="J261" s="467"/>
      <c r="K261" s="467"/>
      <c r="L261" s="468"/>
      <c r="M261" s="468"/>
    </row>
    <row r="262" spans="1:13" x14ac:dyDescent="0.25">
      <c r="A262" s="110"/>
      <c r="B262" s="345"/>
      <c r="C262" s="409" t="s">
        <v>374</v>
      </c>
      <c r="D262" s="406"/>
      <c r="E262" s="408"/>
      <c r="F262" s="408"/>
      <c r="G262" s="366"/>
      <c r="H262" s="462">
        <f>H255-H260</f>
        <v>18279777.94212639</v>
      </c>
      <c r="I262" s="462"/>
      <c r="J262" s="463">
        <f>J255-J260</f>
        <v>3913210.8003350915</v>
      </c>
      <c r="K262" s="463"/>
      <c r="L262" s="464">
        <f>H262+J262</f>
        <v>22192988.74246148</v>
      </c>
      <c r="M262" s="464"/>
    </row>
    <row r="263" spans="1:13" x14ac:dyDescent="0.25">
      <c r="A263" s="110"/>
      <c r="B263" s="345"/>
      <c r="C263" s="411" t="s">
        <v>375</v>
      </c>
      <c r="E263" s="412">
        <f>L255/F255</f>
        <v>0.74715153288100766</v>
      </c>
      <c r="G263" s="366"/>
      <c r="H263" s="410"/>
      <c r="I263" s="410"/>
      <c r="L263" s="375"/>
      <c r="M263" s="375"/>
    </row>
    <row r="264" spans="1:13" x14ac:dyDescent="0.25">
      <c r="A264" s="110"/>
      <c r="B264" s="345"/>
      <c r="C264" s="409"/>
      <c r="D264" s="406"/>
      <c r="E264" s="408"/>
      <c r="F264" s="408"/>
      <c r="G264" s="366"/>
      <c r="H264" s="410"/>
      <c r="I264" s="410"/>
      <c r="L264" s="375"/>
      <c r="M264" s="375"/>
    </row>
    <row r="265" spans="1:13" x14ac:dyDescent="0.25">
      <c r="A265" s="110"/>
      <c r="B265" s="345"/>
      <c r="C265" s="5"/>
      <c r="D265" s="406"/>
      <c r="E265" s="408"/>
      <c r="F265" s="408"/>
      <c r="G265" s="366"/>
      <c r="H265" s="366"/>
      <c r="I265" s="413"/>
      <c r="J265" s="345"/>
      <c r="K265" s="414"/>
      <c r="L265" s="366"/>
      <c r="M265" s="366"/>
    </row>
    <row r="266" spans="1:13" ht="15" customHeight="1" x14ac:dyDescent="0.25">
      <c r="A266" s="110"/>
      <c r="B266" s="374" t="s">
        <v>184</v>
      </c>
      <c r="C266" s="344"/>
      <c r="E266" s="425" t="s">
        <v>11</v>
      </c>
      <c r="F266" s="425"/>
      <c r="G266" s="139"/>
      <c r="K266" s="465" t="s">
        <v>185</v>
      </c>
      <c r="L266" s="465"/>
      <c r="M266" s="374"/>
    </row>
    <row r="267" spans="1:13" x14ac:dyDescent="0.25">
      <c r="A267" s="110"/>
      <c r="B267" s="374"/>
      <c r="C267" s="374"/>
      <c r="D267" s="379"/>
      <c r="E267" s="373"/>
      <c r="F267" s="373"/>
      <c r="G267" s="374"/>
      <c r="H267" s="374"/>
      <c r="I267" s="374"/>
      <c r="J267" s="374"/>
      <c r="L267" s="374"/>
      <c r="M267" s="374"/>
    </row>
    <row r="268" spans="1:13" ht="15" customHeight="1" x14ac:dyDescent="0.25">
      <c r="A268" s="110"/>
      <c r="B268" s="374" t="s">
        <v>186</v>
      </c>
      <c r="C268" s="344"/>
      <c r="E268" s="111" t="s">
        <v>376</v>
      </c>
      <c r="F268" s="111"/>
      <c r="G268" s="111"/>
      <c r="H268" s="111"/>
      <c r="I268" s="111"/>
      <c r="K268" s="466" t="s">
        <v>377</v>
      </c>
      <c r="L268" s="466"/>
      <c r="M268" s="414"/>
    </row>
    <row r="269" spans="1:13" ht="28.5" customHeight="1" x14ac:dyDescent="0.25">
      <c r="B269" s="217" t="s">
        <v>189</v>
      </c>
      <c r="C269" s="344"/>
      <c r="E269" s="422" t="s">
        <v>256</v>
      </c>
      <c r="F269" s="422"/>
      <c r="G269" s="141"/>
      <c r="K269" s="436" t="s">
        <v>190</v>
      </c>
      <c r="L269" s="436"/>
      <c r="M269" s="374"/>
    </row>
    <row r="270" spans="1:13" x14ac:dyDescent="0.25">
      <c r="D270" s="415"/>
      <c r="E270" s="224"/>
      <c r="F270" s="224"/>
    </row>
    <row r="271" spans="1:13" x14ac:dyDescent="0.25">
      <c r="D271" s="415"/>
      <c r="E271" s="224"/>
      <c r="F271" s="224"/>
    </row>
    <row r="272" spans="1:13" x14ac:dyDescent="0.25">
      <c r="D272" s="415"/>
      <c r="E272" s="224"/>
      <c r="F272" s="224"/>
    </row>
    <row r="273" spans="2:6" ht="15.75" x14ac:dyDescent="0.25">
      <c r="B273" s="416"/>
      <c r="C273" s="417"/>
      <c r="D273" s="418"/>
      <c r="E273" s="419"/>
      <c r="F273" s="420"/>
    </row>
    <row r="274" spans="2:6" ht="15.75" x14ac:dyDescent="0.25">
      <c r="B274" s="416"/>
      <c r="C274" s="417"/>
      <c r="D274" s="418"/>
      <c r="E274" s="419"/>
      <c r="F274" s="420"/>
    </row>
  </sheetData>
  <mergeCells count="65">
    <mergeCell ref="B236:C236"/>
    <mergeCell ref="D237:E237"/>
    <mergeCell ref="H238:I238"/>
    <mergeCell ref="J238:K238"/>
    <mergeCell ref="A2:M2"/>
    <mergeCell ref="A3:M3"/>
    <mergeCell ref="A10:F10"/>
    <mergeCell ref="G10:J10"/>
    <mergeCell ref="K10:M10"/>
    <mergeCell ref="B216:F216"/>
    <mergeCell ref="H242:I242"/>
    <mergeCell ref="J242:K242"/>
    <mergeCell ref="L242:M242"/>
    <mergeCell ref="E231:K231"/>
    <mergeCell ref="F232:H232"/>
    <mergeCell ref="D234:F234"/>
    <mergeCell ref="L238:M238"/>
    <mergeCell ref="B239:E239"/>
    <mergeCell ref="H239:I239"/>
    <mergeCell ref="J239:K239"/>
    <mergeCell ref="L239:M239"/>
    <mergeCell ref="H243:I243"/>
    <mergeCell ref="J243:K243"/>
    <mergeCell ref="L243:M243"/>
    <mergeCell ref="H244:I244"/>
    <mergeCell ref="J244:K244"/>
    <mergeCell ref="L244:M244"/>
    <mergeCell ref="H245:I245"/>
    <mergeCell ref="J245:K245"/>
    <mergeCell ref="L245:M245"/>
    <mergeCell ref="H246:I246"/>
    <mergeCell ref="J246:K246"/>
    <mergeCell ref="L246:M246"/>
    <mergeCell ref="H247:I247"/>
    <mergeCell ref="J247:K247"/>
    <mergeCell ref="L247:M247"/>
    <mergeCell ref="H249:I249"/>
    <mergeCell ref="J249:K249"/>
    <mergeCell ref="L249:M249"/>
    <mergeCell ref="H250:I250"/>
    <mergeCell ref="J250:K250"/>
    <mergeCell ref="L250:M250"/>
    <mergeCell ref="H255:I255"/>
    <mergeCell ref="J255:K255"/>
    <mergeCell ref="L255:M255"/>
    <mergeCell ref="H258:I258"/>
    <mergeCell ref="J258:K258"/>
    <mergeCell ref="L258:M258"/>
    <mergeCell ref="H259:I259"/>
    <mergeCell ref="J259:K259"/>
    <mergeCell ref="L259:M259"/>
    <mergeCell ref="H260:I260"/>
    <mergeCell ref="J260:K260"/>
    <mergeCell ref="L260:M260"/>
    <mergeCell ref="H261:I261"/>
    <mergeCell ref="J261:K261"/>
    <mergeCell ref="L261:M261"/>
    <mergeCell ref="E269:F269"/>
    <mergeCell ref="K269:L269"/>
    <mergeCell ref="H262:I262"/>
    <mergeCell ref="J262:K262"/>
    <mergeCell ref="L262:M262"/>
    <mergeCell ref="E266:F266"/>
    <mergeCell ref="K266:L266"/>
    <mergeCell ref="K268:L26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PORTADA</vt:lpstr>
      <vt:lpstr>octubre </vt:lpstr>
      <vt:lpstr>cub.2 los dominguez </vt:lpstr>
      <vt:lpstr>cub.4 maria la o</vt:lpstr>
      <vt:lpstr>noviembre </vt:lpstr>
      <vt:lpstr>cub.4 san marcos </vt:lpstr>
      <vt:lpstr>Diciembre </vt:lpstr>
      <vt:lpstr>CUB.5 MARIA LA 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Ramón Moore</dc:creator>
  <cp:lastModifiedBy>Marieli Tineo Almonte</cp:lastModifiedBy>
  <dcterms:created xsi:type="dcterms:W3CDTF">2025-01-20T14:25:35Z</dcterms:created>
  <dcterms:modified xsi:type="dcterms:W3CDTF">2025-01-22T19:07:56Z</dcterms:modified>
</cp:coreProperties>
</file>